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DA98E69F-FC57-4569-9B68-E97A9AE21F9E}" xr6:coauthVersionLast="47" xr6:coauthVersionMax="47" xr10:uidLastSave="{00000000-0000-0000-0000-000000000000}"/>
  <bookViews>
    <workbookView xWindow="-108" yWindow="-108" windowWidth="23256" windowHeight="12576" tabRatio="512" xr2:uid="{00000000-000D-0000-FFFF-FFFF00000000}"/>
  </bookViews>
  <sheets>
    <sheet name="Summary" sheetId="2" r:id="rId1"/>
    <sheet name="Detailed Estimate Sheet" sheetId="1" r:id="rId2"/>
  </sheets>
  <definedNames>
    <definedName name="_xlnm.Print_Area" localSheetId="1">'Detailed Estimate Sheet'!$B$2:$R$753</definedName>
    <definedName name="_xlnm.Print_Area" localSheetId="0">Summary!$B$2:$G$46</definedName>
    <definedName name="_xlnm.Print_Titles" localSheetId="1">'Detailed Estimate Sheet'!$2:$19</definedName>
    <definedName name="_xlnm.Print_Titles" localSheetId="0">Summary!$2:$16</definedName>
  </definedNames>
  <calcPr calcId="191029"/>
</workbook>
</file>

<file path=xl/calcChain.xml><?xml version="1.0" encoding="utf-8"?>
<calcChain xmlns="http://schemas.openxmlformats.org/spreadsheetml/2006/main">
  <c r="D20" i="2" l="1"/>
  <c r="D15" i="2" l="1"/>
  <c r="N541" i="1"/>
  <c r="H541" i="1"/>
  <c r="N542" i="1"/>
  <c r="O542" i="1" s="1"/>
  <c r="K542" i="1"/>
  <c r="H542" i="1"/>
  <c r="I542" i="1" s="1"/>
  <c r="N539" i="1"/>
  <c r="O539" i="1" s="1"/>
  <c r="H539" i="1"/>
  <c r="N538" i="1"/>
  <c r="K726" i="1" l="1"/>
  <c r="H726" i="1"/>
  <c r="I726" i="1" s="1"/>
  <c r="H744" i="1"/>
  <c r="N752" i="1"/>
  <c r="M752" i="1"/>
  <c r="L752" i="1"/>
  <c r="J752" i="1"/>
  <c r="G752" i="1"/>
  <c r="H752" i="1" s="1"/>
  <c r="I752" i="1" s="1"/>
  <c r="N751" i="1"/>
  <c r="O751" i="1" s="1"/>
  <c r="P751" i="1" s="1"/>
  <c r="K751" i="1"/>
  <c r="H751" i="1"/>
  <c r="I751" i="1" s="1"/>
  <c r="N750" i="1"/>
  <c r="O750" i="1" s="1"/>
  <c r="P750" i="1" s="1"/>
  <c r="K750" i="1"/>
  <c r="H750" i="1"/>
  <c r="I750" i="1" s="1"/>
  <c r="N749" i="1"/>
  <c r="O749" i="1" s="1"/>
  <c r="M744" i="1"/>
  <c r="N744" i="1" s="1"/>
  <c r="L744" i="1"/>
  <c r="J744" i="1"/>
  <c r="G744" i="1"/>
  <c r="M736" i="1"/>
  <c r="M735" i="1"/>
  <c r="L736" i="1"/>
  <c r="L735" i="1"/>
  <c r="J736" i="1"/>
  <c r="J735" i="1"/>
  <c r="K735" i="1" s="1"/>
  <c r="G736" i="1"/>
  <c r="G735" i="1"/>
  <c r="N736" i="1"/>
  <c r="O736" i="1" s="1"/>
  <c r="P736" i="1" s="1"/>
  <c r="H736" i="1"/>
  <c r="I736" i="1" s="1"/>
  <c r="N735" i="1"/>
  <c r="O735" i="1" s="1"/>
  <c r="P735" i="1" s="1"/>
  <c r="H735" i="1"/>
  <c r="I735" i="1" s="1"/>
  <c r="N734" i="1"/>
  <c r="O734" i="1" s="1"/>
  <c r="P734" i="1" s="1"/>
  <c r="K734" i="1"/>
  <c r="H734" i="1"/>
  <c r="I734" i="1" s="1"/>
  <c r="N729" i="1"/>
  <c r="O729" i="1" s="1"/>
  <c r="P729" i="1" s="1"/>
  <c r="K729" i="1"/>
  <c r="H729" i="1"/>
  <c r="I729" i="1" s="1"/>
  <c r="N728" i="1"/>
  <c r="O728" i="1" s="1"/>
  <c r="P728" i="1" s="1"/>
  <c r="K728" i="1"/>
  <c r="H728" i="1"/>
  <c r="I728" i="1" s="1"/>
  <c r="N727" i="1"/>
  <c r="O727" i="1" s="1"/>
  <c r="P727" i="1" s="1"/>
  <c r="K727" i="1"/>
  <c r="H727" i="1"/>
  <c r="I727" i="1" s="1"/>
  <c r="N726" i="1"/>
  <c r="O726" i="1" s="1"/>
  <c r="P726" i="1" s="1"/>
  <c r="N725" i="1"/>
  <c r="O725" i="1" s="1"/>
  <c r="P725" i="1" s="1"/>
  <c r="K725" i="1"/>
  <c r="H725" i="1"/>
  <c r="I725" i="1" s="1"/>
  <c r="Q725" i="1" s="1"/>
  <c r="N724" i="1"/>
  <c r="O724" i="1" s="1"/>
  <c r="P724" i="1" s="1"/>
  <c r="K724" i="1"/>
  <c r="H724" i="1"/>
  <c r="I724" i="1" s="1"/>
  <c r="N723" i="1"/>
  <c r="O723" i="1" s="1"/>
  <c r="P723" i="1" s="1"/>
  <c r="K723" i="1"/>
  <c r="H723" i="1"/>
  <c r="I723" i="1" s="1"/>
  <c r="N722" i="1"/>
  <c r="O722" i="1" s="1"/>
  <c r="P722" i="1" s="1"/>
  <c r="K722" i="1"/>
  <c r="H722" i="1"/>
  <c r="I722" i="1" s="1"/>
  <c r="N721" i="1"/>
  <c r="O721" i="1" s="1"/>
  <c r="P721" i="1" s="1"/>
  <c r="K721" i="1"/>
  <c r="H721" i="1"/>
  <c r="I721" i="1" s="1"/>
  <c r="N720" i="1"/>
  <c r="O720" i="1" s="1"/>
  <c r="P720" i="1" s="1"/>
  <c r="K720" i="1"/>
  <c r="H720" i="1"/>
  <c r="I720" i="1" s="1"/>
  <c r="N719" i="1"/>
  <c r="O719" i="1" s="1"/>
  <c r="P719" i="1" s="1"/>
  <c r="K719" i="1"/>
  <c r="H719" i="1"/>
  <c r="I719" i="1" s="1"/>
  <c r="Q719" i="1" s="1"/>
  <c r="N718" i="1"/>
  <c r="O718" i="1" s="1"/>
  <c r="P718" i="1" s="1"/>
  <c r="K718" i="1"/>
  <c r="H718" i="1"/>
  <c r="I718" i="1" s="1"/>
  <c r="M717" i="1"/>
  <c r="N717" i="1" s="1"/>
  <c r="L717" i="1"/>
  <c r="J717" i="1"/>
  <c r="H717" i="1"/>
  <c r="N716" i="1"/>
  <c r="M716" i="1"/>
  <c r="L716" i="1"/>
  <c r="J716" i="1"/>
  <c r="H716" i="1"/>
  <c r="N715" i="1"/>
  <c r="O715" i="1" s="1"/>
  <c r="P715" i="1" s="1"/>
  <c r="K715" i="1"/>
  <c r="H715" i="1"/>
  <c r="I715" i="1" s="1"/>
  <c r="N714" i="1"/>
  <c r="O714" i="1" s="1"/>
  <c r="P714" i="1" s="1"/>
  <c r="K714" i="1"/>
  <c r="H714" i="1"/>
  <c r="I714" i="1" s="1"/>
  <c r="N713" i="1"/>
  <c r="O713" i="1" s="1"/>
  <c r="H713" i="1"/>
  <c r="N712" i="1"/>
  <c r="O712" i="1" s="1"/>
  <c r="P712" i="1" s="1"/>
  <c r="K712" i="1"/>
  <c r="H712" i="1"/>
  <c r="I712" i="1" s="1"/>
  <c r="N711" i="1"/>
  <c r="O711" i="1" s="1"/>
  <c r="P711" i="1" s="1"/>
  <c r="K711" i="1"/>
  <c r="H711" i="1"/>
  <c r="I711" i="1" s="1"/>
  <c r="N710" i="1"/>
  <c r="O710" i="1" s="1"/>
  <c r="P710" i="1" s="1"/>
  <c r="K710" i="1"/>
  <c r="H710" i="1"/>
  <c r="I710" i="1" s="1"/>
  <c r="N709" i="1"/>
  <c r="O709" i="1" s="1"/>
  <c r="P709" i="1" s="1"/>
  <c r="K709" i="1"/>
  <c r="H709" i="1"/>
  <c r="I709" i="1" s="1"/>
  <c r="N708" i="1"/>
  <c r="O708" i="1" s="1"/>
  <c r="P708" i="1" s="1"/>
  <c r="K708" i="1"/>
  <c r="H708" i="1"/>
  <c r="I708" i="1" s="1"/>
  <c r="N707" i="1"/>
  <c r="O707" i="1" s="1"/>
  <c r="H707" i="1"/>
  <c r="N706" i="1"/>
  <c r="O706" i="1" s="1"/>
  <c r="P706" i="1" s="1"/>
  <c r="K706" i="1"/>
  <c r="H706" i="1"/>
  <c r="I706" i="1" s="1"/>
  <c r="N705" i="1"/>
  <c r="O705" i="1" s="1"/>
  <c r="P705" i="1" s="1"/>
  <c r="K705" i="1"/>
  <c r="H705" i="1"/>
  <c r="I705" i="1" s="1"/>
  <c r="O704" i="1"/>
  <c r="P704" i="1" s="1"/>
  <c r="N704" i="1"/>
  <c r="K704" i="1"/>
  <c r="H704" i="1"/>
  <c r="I704" i="1" s="1"/>
  <c r="N703" i="1"/>
  <c r="O703" i="1" s="1"/>
  <c r="P703" i="1" s="1"/>
  <c r="K703" i="1"/>
  <c r="H703" i="1"/>
  <c r="I703" i="1" s="1"/>
  <c r="H698" i="1"/>
  <c r="H695" i="1"/>
  <c r="H692" i="1"/>
  <c r="K699" i="1"/>
  <c r="H699" i="1"/>
  <c r="I699" i="1" s="1"/>
  <c r="K697" i="1"/>
  <c r="H697" i="1"/>
  <c r="I697" i="1" s="1"/>
  <c r="K696" i="1"/>
  <c r="H696" i="1"/>
  <c r="I696" i="1" s="1"/>
  <c r="K694" i="1"/>
  <c r="H694" i="1"/>
  <c r="I694" i="1" s="1"/>
  <c r="K693" i="1"/>
  <c r="H693" i="1"/>
  <c r="I693" i="1" s="1"/>
  <c r="B685" i="1"/>
  <c r="B686" i="1"/>
  <c r="B688" i="1"/>
  <c r="B689" i="1"/>
  <c r="B690" i="1"/>
  <c r="B691" i="1"/>
  <c r="N687" i="1"/>
  <c r="O687" i="1" s="1"/>
  <c r="P687" i="1" s="1"/>
  <c r="K687" i="1"/>
  <c r="H687" i="1"/>
  <c r="I687" i="1" s="1"/>
  <c r="N686" i="1"/>
  <c r="O686" i="1" s="1"/>
  <c r="P686" i="1" s="1"/>
  <c r="K686" i="1"/>
  <c r="H686" i="1"/>
  <c r="I686" i="1" s="1"/>
  <c r="N685" i="1"/>
  <c r="O685" i="1" s="1"/>
  <c r="P685" i="1" s="1"/>
  <c r="K685" i="1"/>
  <c r="H685" i="1"/>
  <c r="I685" i="1" s="1"/>
  <c r="N684" i="1"/>
  <c r="O684" i="1" s="1"/>
  <c r="H684" i="1"/>
  <c r="N683" i="1"/>
  <c r="O683" i="1" s="1"/>
  <c r="H683" i="1"/>
  <c r="N682" i="1"/>
  <c r="O682" i="1" s="1"/>
  <c r="P682" i="1" s="1"/>
  <c r="K682" i="1"/>
  <c r="H682" i="1"/>
  <c r="I682" i="1" s="1"/>
  <c r="N681" i="1"/>
  <c r="O681" i="1" s="1"/>
  <c r="P681" i="1" s="1"/>
  <c r="K681" i="1"/>
  <c r="H681" i="1"/>
  <c r="I681" i="1" s="1"/>
  <c r="N680" i="1"/>
  <c r="O680" i="1" s="1"/>
  <c r="H680" i="1"/>
  <c r="N679" i="1"/>
  <c r="O679" i="1" s="1"/>
  <c r="P679" i="1" s="1"/>
  <c r="K679" i="1"/>
  <c r="H679" i="1"/>
  <c r="I679" i="1" s="1"/>
  <c r="Q679" i="1" s="1"/>
  <c r="N678" i="1"/>
  <c r="O678" i="1" s="1"/>
  <c r="P678" i="1" s="1"/>
  <c r="K678" i="1"/>
  <c r="H678" i="1"/>
  <c r="I678" i="1" s="1"/>
  <c r="N677" i="1"/>
  <c r="O677" i="1" s="1"/>
  <c r="H677" i="1"/>
  <c r="N676" i="1"/>
  <c r="O676" i="1" s="1"/>
  <c r="H676" i="1"/>
  <c r="N675" i="1"/>
  <c r="O675" i="1" s="1"/>
  <c r="H675" i="1"/>
  <c r="N674" i="1"/>
  <c r="O674" i="1" s="1"/>
  <c r="H674" i="1"/>
  <c r="N673" i="1"/>
  <c r="O673" i="1" s="1"/>
  <c r="P673" i="1" s="1"/>
  <c r="K673" i="1"/>
  <c r="H673" i="1"/>
  <c r="I673" i="1" s="1"/>
  <c r="N672" i="1"/>
  <c r="O672" i="1" s="1"/>
  <c r="P672" i="1" s="1"/>
  <c r="K672" i="1"/>
  <c r="H672" i="1"/>
  <c r="I672" i="1" s="1"/>
  <c r="N671" i="1"/>
  <c r="O671" i="1" s="1"/>
  <c r="H671" i="1"/>
  <c r="N670" i="1"/>
  <c r="O670" i="1" s="1"/>
  <c r="P670" i="1" s="1"/>
  <c r="K670" i="1"/>
  <c r="H670" i="1"/>
  <c r="I670" i="1" s="1"/>
  <c r="N669" i="1"/>
  <c r="O669" i="1" s="1"/>
  <c r="P669" i="1" s="1"/>
  <c r="K669" i="1"/>
  <c r="H669" i="1"/>
  <c r="I669" i="1" s="1"/>
  <c r="N668" i="1"/>
  <c r="O668" i="1" s="1"/>
  <c r="H668" i="1"/>
  <c r="N667" i="1"/>
  <c r="O667" i="1" s="1"/>
  <c r="H667" i="1"/>
  <c r="N666" i="1"/>
  <c r="O666" i="1" s="1"/>
  <c r="H666" i="1"/>
  <c r="N665" i="1"/>
  <c r="O665" i="1" s="1"/>
  <c r="N664" i="1"/>
  <c r="O664" i="1" s="1"/>
  <c r="N663" i="1"/>
  <c r="O663" i="1" s="1"/>
  <c r="N662" i="1"/>
  <c r="O662" i="1" s="1"/>
  <c r="N661" i="1"/>
  <c r="O661" i="1" s="1"/>
  <c r="N660" i="1"/>
  <c r="O660" i="1" s="1"/>
  <c r="N659" i="1"/>
  <c r="O659" i="1" s="1"/>
  <c r="N658" i="1"/>
  <c r="O658" i="1" s="1"/>
  <c r="N657" i="1"/>
  <c r="O657" i="1" s="1"/>
  <c r="N656" i="1"/>
  <c r="O656" i="1" s="1"/>
  <c r="N655" i="1"/>
  <c r="O655" i="1" s="1"/>
  <c r="P655" i="1" s="1"/>
  <c r="K655" i="1"/>
  <c r="H655" i="1"/>
  <c r="I655" i="1" s="1"/>
  <c r="N654" i="1"/>
  <c r="O654" i="1" s="1"/>
  <c r="P654" i="1" s="1"/>
  <c r="K654" i="1"/>
  <c r="H654" i="1"/>
  <c r="I654" i="1" s="1"/>
  <c r="Q654" i="1" s="1"/>
  <c r="N653" i="1"/>
  <c r="O653" i="1" s="1"/>
  <c r="N652" i="1"/>
  <c r="O652" i="1" s="1"/>
  <c r="N651" i="1"/>
  <c r="O651" i="1" s="1"/>
  <c r="N650" i="1"/>
  <c r="O650" i="1" s="1"/>
  <c r="N649" i="1"/>
  <c r="O649" i="1" s="1"/>
  <c r="N648" i="1"/>
  <c r="O648" i="1" s="1"/>
  <c r="N647" i="1"/>
  <c r="O647" i="1" s="1"/>
  <c r="N646" i="1"/>
  <c r="O646" i="1" s="1"/>
  <c r="N645" i="1"/>
  <c r="O645" i="1" s="1"/>
  <c r="N644" i="1"/>
  <c r="O644" i="1" s="1"/>
  <c r="N643" i="1"/>
  <c r="O643" i="1" s="1"/>
  <c r="N642" i="1"/>
  <c r="O642" i="1" s="1"/>
  <c r="P642" i="1" s="1"/>
  <c r="K642" i="1"/>
  <c r="H642" i="1"/>
  <c r="I642" i="1" s="1"/>
  <c r="N641" i="1"/>
  <c r="O641" i="1" s="1"/>
  <c r="P641" i="1" s="1"/>
  <c r="K641" i="1"/>
  <c r="H641" i="1"/>
  <c r="I641" i="1" s="1"/>
  <c r="N640" i="1"/>
  <c r="O640" i="1" s="1"/>
  <c r="N639" i="1"/>
  <c r="O639" i="1" s="1"/>
  <c r="N638" i="1"/>
  <c r="O638" i="1" s="1"/>
  <c r="N637" i="1"/>
  <c r="O637" i="1" s="1"/>
  <c r="N636" i="1"/>
  <c r="O636" i="1" s="1"/>
  <c r="N635" i="1"/>
  <c r="O635" i="1" s="1"/>
  <c r="N634" i="1"/>
  <c r="O634" i="1" s="1"/>
  <c r="N633" i="1"/>
  <c r="O633" i="1" s="1"/>
  <c r="N632" i="1"/>
  <c r="O632" i="1" s="1"/>
  <c r="N631" i="1"/>
  <c r="O631" i="1" s="1"/>
  <c r="N630" i="1"/>
  <c r="O630" i="1" s="1"/>
  <c r="N629" i="1"/>
  <c r="O629" i="1" s="1"/>
  <c r="N628" i="1"/>
  <c r="O628" i="1" s="1"/>
  <c r="N627" i="1"/>
  <c r="O627" i="1" s="1"/>
  <c r="N626" i="1"/>
  <c r="O626" i="1" s="1"/>
  <c r="N625" i="1"/>
  <c r="O625" i="1" s="1"/>
  <c r="N624" i="1"/>
  <c r="O624" i="1" s="1"/>
  <c r="P624" i="1" s="1"/>
  <c r="K624" i="1"/>
  <c r="H624" i="1"/>
  <c r="I624" i="1" s="1"/>
  <c r="N623" i="1"/>
  <c r="O623" i="1" s="1"/>
  <c r="P623" i="1" s="1"/>
  <c r="K623" i="1"/>
  <c r="H623" i="1"/>
  <c r="I623" i="1" s="1"/>
  <c r="N622" i="1"/>
  <c r="O622" i="1" s="1"/>
  <c r="H622" i="1"/>
  <c r="N621" i="1"/>
  <c r="O621" i="1" s="1"/>
  <c r="N620" i="1"/>
  <c r="O620" i="1" s="1"/>
  <c r="P620" i="1" s="1"/>
  <c r="K620" i="1"/>
  <c r="H620" i="1"/>
  <c r="I620" i="1" s="1"/>
  <c r="N619" i="1"/>
  <c r="O619" i="1" s="1"/>
  <c r="P619" i="1" s="1"/>
  <c r="K619" i="1"/>
  <c r="H619" i="1"/>
  <c r="I619" i="1" s="1"/>
  <c r="N618" i="1"/>
  <c r="O618" i="1" s="1"/>
  <c r="N617" i="1"/>
  <c r="O617" i="1" s="1"/>
  <c r="N616" i="1"/>
  <c r="O616" i="1" s="1"/>
  <c r="N615" i="1"/>
  <c r="O615" i="1" s="1"/>
  <c r="N614" i="1"/>
  <c r="O614" i="1" s="1"/>
  <c r="P614" i="1" s="1"/>
  <c r="K614" i="1"/>
  <c r="H614" i="1"/>
  <c r="I614" i="1" s="1"/>
  <c r="N613" i="1"/>
  <c r="O613" i="1" s="1"/>
  <c r="P613" i="1" s="1"/>
  <c r="K613" i="1"/>
  <c r="H613" i="1"/>
  <c r="I613" i="1" s="1"/>
  <c r="N610" i="1"/>
  <c r="O610" i="1" s="1"/>
  <c r="H610" i="1"/>
  <c r="N609" i="1"/>
  <c r="O609" i="1" s="1"/>
  <c r="P609" i="1" s="1"/>
  <c r="K609" i="1"/>
  <c r="H609" i="1"/>
  <c r="I609" i="1" s="1"/>
  <c r="N608" i="1"/>
  <c r="O608" i="1" s="1"/>
  <c r="P608" i="1" s="1"/>
  <c r="K608" i="1"/>
  <c r="H608" i="1"/>
  <c r="I608" i="1" s="1"/>
  <c r="O607" i="1"/>
  <c r="P607" i="1" s="1"/>
  <c r="N607" i="1"/>
  <c r="K607" i="1"/>
  <c r="H607" i="1"/>
  <c r="I607" i="1" s="1"/>
  <c r="B594" i="1"/>
  <c r="B595" i="1"/>
  <c r="B597" i="1"/>
  <c r="B598" i="1"/>
  <c r="B600" i="1"/>
  <c r="B601" i="1"/>
  <c r="B603" i="1"/>
  <c r="B604" i="1"/>
  <c r="B605" i="1"/>
  <c r="B606" i="1"/>
  <c r="B608" i="1"/>
  <c r="N602" i="1"/>
  <c r="O602" i="1" s="1"/>
  <c r="P602" i="1" s="1"/>
  <c r="K602" i="1"/>
  <c r="H602" i="1"/>
  <c r="I602" i="1" s="1"/>
  <c r="N601" i="1"/>
  <c r="O601" i="1" s="1"/>
  <c r="P601" i="1" s="1"/>
  <c r="K601" i="1"/>
  <c r="H601" i="1"/>
  <c r="I601" i="1" s="1"/>
  <c r="N600" i="1"/>
  <c r="O600" i="1" s="1"/>
  <c r="P600" i="1" s="1"/>
  <c r="K600" i="1"/>
  <c r="H600" i="1"/>
  <c r="I600" i="1" s="1"/>
  <c r="N599" i="1"/>
  <c r="O599" i="1" s="1"/>
  <c r="H599" i="1"/>
  <c r="N598" i="1"/>
  <c r="O598" i="1" s="1"/>
  <c r="P598" i="1" s="1"/>
  <c r="K598" i="1"/>
  <c r="H598" i="1"/>
  <c r="I598" i="1" s="1"/>
  <c r="N597" i="1"/>
  <c r="O597" i="1" s="1"/>
  <c r="P597" i="1" s="1"/>
  <c r="K597" i="1"/>
  <c r="H597" i="1"/>
  <c r="I597" i="1" s="1"/>
  <c r="N596" i="1"/>
  <c r="O596" i="1" s="1"/>
  <c r="H596" i="1"/>
  <c r="N595" i="1"/>
  <c r="O595" i="1" s="1"/>
  <c r="P595" i="1" s="1"/>
  <c r="K595" i="1"/>
  <c r="H595" i="1"/>
  <c r="I595" i="1" s="1"/>
  <c r="N594" i="1"/>
  <c r="O594" i="1" s="1"/>
  <c r="P594" i="1" s="1"/>
  <c r="K594" i="1"/>
  <c r="H594" i="1"/>
  <c r="I594" i="1" s="1"/>
  <c r="N593" i="1"/>
  <c r="O593" i="1" s="1"/>
  <c r="H593" i="1"/>
  <c r="N592" i="1"/>
  <c r="O592" i="1" s="1"/>
  <c r="P592" i="1" s="1"/>
  <c r="K592" i="1"/>
  <c r="H592" i="1"/>
  <c r="I592" i="1" s="1"/>
  <c r="N591" i="1"/>
  <c r="O591" i="1" s="1"/>
  <c r="P591" i="1" s="1"/>
  <c r="K591" i="1"/>
  <c r="H591" i="1"/>
  <c r="I591" i="1" s="1"/>
  <c r="N590" i="1"/>
  <c r="O590" i="1" s="1"/>
  <c r="N589" i="1"/>
  <c r="O589" i="1" s="1"/>
  <c r="N588" i="1"/>
  <c r="O588" i="1" s="1"/>
  <c r="N587" i="1"/>
  <c r="O587" i="1" s="1"/>
  <c r="P587" i="1" s="1"/>
  <c r="K587" i="1"/>
  <c r="H587" i="1"/>
  <c r="I587" i="1" s="1"/>
  <c r="N586" i="1"/>
  <c r="O586" i="1" s="1"/>
  <c r="P586" i="1" s="1"/>
  <c r="K586" i="1"/>
  <c r="H586" i="1"/>
  <c r="I586" i="1" s="1"/>
  <c r="N585" i="1"/>
  <c r="O585" i="1" s="1"/>
  <c r="H585" i="1"/>
  <c r="N584" i="1"/>
  <c r="O584" i="1" s="1"/>
  <c r="H584" i="1"/>
  <c r="N583" i="1"/>
  <c r="O583" i="1" s="1"/>
  <c r="P583" i="1" s="1"/>
  <c r="K583" i="1"/>
  <c r="H583" i="1"/>
  <c r="I583" i="1" s="1"/>
  <c r="N582" i="1"/>
  <c r="O582" i="1" s="1"/>
  <c r="P582" i="1" s="1"/>
  <c r="K582" i="1"/>
  <c r="H582" i="1"/>
  <c r="I582" i="1" s="1"/>
  <c r="N581" i="1"/>
  <c r="O581" i="1" s="1"/>
  <c r="P581" i="1" s="1"/>
  <c r="K581" i="1"/>
  <c r="H581" i="1"/>
  <c r="I581" i="1" s="1"/>
  <c r="N580" i="1"/>
  <c r="O580" i="1" s="1"/>
  <c r="P580" i="1" s="1"/>
  <c r="K580" i="1"/>
  <c r="H580" i="1"/>
  <c r="I580" i="1" s="1"/>
  <c r="N579" i="1"/>
  <c r="O579" i="1" s="1"/>
  <c r="H579" i="1"/>
  <c r="N578" i="1"/>
  <c r="O578" i="1" s="1"/>
  <c r="N577" i="1"/>
  <c r="O577" i="1" s="1"/>
  <c r="P577" i="1" s="1"/>
  <c r="K577" i="1"/>
  <c r="H577" i="1"/>
  <c r="I577" i="1" s="1"/>
  <c r="N576" i="1"/>
  <c r="O576" i="1" s="1"/>
  <c r="P576" i="1" s="1"/>
  <c r="K576" i="1"/>
  <c r="H576" i="1"/>
  <c r="I576" i="1" s="1"/>
  <c r="N575" i="1"/>
  <c r="O575" i="1" s="1"/>
  <c r="H575" i="1"/>
  <c r="N574" i="1"/>
  <c r="O574" i="1" s="1"/>
  <c r="P574" i="1" s="1"/>
  <c r="K574" i="1"/>
  <c r="H574" i="1"/>
  <c r="I574" i="1" s="1"/>
  <c r="N573" i="1"/>
  <c r="O573" i="1" s="1"/>
  <c r="P573" i="1" s="1"/>
  <c r="K573" i="1"/>
  <c r="H573" i="1"/>
  <c r="I573" i="1" s="1"/>
  <c r="N572" i="1"/>
  <c r="O572" i="1" s="1"/>
  <c r="N571" i="1"/>
  <c r="O571" i="1" s="1"/>
  <c r="N570" i="1"/>
  <c r="O570" i="1" s="1"/>
  <c r="N569" i="1"/>
  <c r="O569" i="1" s="1"/>
  <c r="N568" i="1"/>
  <c r="O568" i="1" s="1"/>
  <c r="N567" i="1"/>
  <c r="O567" i="1" s="1"/>
  <c r="N566" i="1"/>
  <c r="O566" i="1" s="1"/>
  <c r="P566" i="1" s="1"/>
  <c r="K566" i="1"/>
  <c r="H566" i="1"/>
  <c r="I566" i="1" s="1"/>
  <c r="N565" i="1"/>
  <c r="O565" i="1" s="1"/>
  <c r="P565" i="1" s="1"/>
  <c r="K565" i="1"/>
  <c r="H565" i="1"/>
  <c r="I565" i="1" s="1"/>
  <c r="N564" i="1"/>
  <c r="O564" i="1" s="1"/>
  <c r="H564" i="1"/>
  <c r="N563" i="1"/>
  <c r="O563" i="1" s="1"/>
  <c r="N562" i="1"/>
  <c r="O562" i="1" s="1"/>
  <c r="H562" i="1"/>
  <c r="N561" i="1"/>
  <c r="O561" i="1" s="1"/>
  <c r="N560" i="1"/>
  <c r="O560" i="1" s="1"/>
  <c r="N559" i="1"/>
  <c r="O559" i="1" s="1"/>
  <c r="N558" i="1"/>
  <c r="O558" i="1" s="1"/>
  <c r="N557" i="1"/>
  <c r="O557" i="1" s="1"/>
  <c r="N556" i="1"/>
  <c r="O556" i="1" s="1"/>
  <c r="N555" i="1"/>
  <c r="O555" i="1" s="1"/>
  <c r="N554" i="1"/>
  <c r="O554" i="1" s="1"/>
  <c r="H554" i="1"/>
  <c r="N553" i="1"/>
  <c r="O553" i="1" s="1"/>
  <c r="P553" i="1" s="1"/>
  <c r="K553" i="1"/>
  <c r="H553" i="1"/>
  <c r="I553" i="1" s="1"/>
  <c r="N552" i="1"/>
  <c r="O552" i="1" s="1"/>
  <c r="P552" i="1" s="1"/>
  <c r="K552" i="1"/>
  <c r="H552" i="1"/>
  <c r="I552" i="1" s="1"/>
  <c r="N551" i="1"/>
  <c r="O551" i="1" s="1"/>
  <c r="P551" i="1" s="1"/>
  <c r="K551" i="1"/>
  <c r="H551" i="1"/>
  <c r="I551" i="1" s="1"/>
  <c r="H548" i="1"/>
  <c r="N543" i="1"/>
  <c r="O543" i="1" s="1"/>
  <c r="P543" i="1" s="1"/>
  <c r="K543" i="1"/>
  <c r="I543" i="1"/>
  <c r="P542" i="1"/>
  <c r="O541" i="1"/>
  <c r="N540" i="1"/>
  <c r="O540" i="1" s="1"/>
  <c r="O538" i="1"/>
  <c r="H538" i="1"/>
  <c r="N537" i="1"/>
  <c r="O537" i="1" s="1"/>
  <c r="N536" i="1"/>
  <c r="O536" i="1" s="1"/>
  <c r="P536" i="1" s="1"/>
  <c r="K536" i="1"/>
  <c r="H536" i="1"/>
  <c r="I536" i="1" s="1"/>
  <c r="N535" i="1"/>
  <c r="O535" i="1" s="1"/>
  <c r="P535" i="1" s="1"/>
  <c r="K535" i="1"/>
  <c r="H535" i="1"/>
  <c r="I535" i="1" s="1"/>
  <c r="N534" i="1"/>
  <c r="O534" i="1" s="1"/>
  <c r="H534" i="1"/>
  <c r="N533" i="1"/>
  <c r="O533" i="1" s="1"/>
  <c r="P533" i="1" s="1"/>
  <c r="K533" i="1"/>
  <c r="H533" i="1"/>
  <c r="I533" i="1" s="1"/>
  <c r="N532" i="1"/>
  <c r="O532" i="1" s="1"/>
  <c r="P532" i="1" s="1"/>
  <c r="K532" i="1"/>
  <c r="H532" i="1"/>
  <c r="I532" i="1" s="1"/>
  <c r="N531" i="1"/>
  <c r="O531" i="1" s="1"/>
  <c r="H531" i="1"/>
  <c r="N530" i="1"/>
  <c r="O530" i="1" s="1"/>
  <c r="G530" i="1"/>
  <c r="H530" i="1" s="1"/>
  <c r="N529" i="1"/>
  <c r="O529" i="1" s="1"/>
  <c r="G529" i="1"/>
  <c r="H529" i="1" s="1"/>
  <c r="I744" i="1" l="1"/>
  <c r="O716" i="1"/>
  <c r="Q624" i="1"/>
  <c r="Q678" i="1"/>
  <c r="O744" i="1"/>
  <c r="P744" i="1" s="1"/>
  <c r="Q744" i="1" s="1"/>
  <c r="Q574" i="1"/>
  <c r="Q686" i="1"/>
  <c r="Q724" i="1"/>
  <c r="O752" i="1"/>
  <c r="P752" i="1" s="1"/>
  <c r="O717" i="1"/>
  <c r="Q685" i="1"/>
  <c r="Q727" i="1"/>
  <c r="Q751" i="1"/>
  <c r="Q750" i="1"/>
  <c r="Q752" i="1"/>
  <c r="K752" i="1"/>
  <c r="K744" i="1"/>
  <c r="Q735" i="1"/>
  <c r="Q734" i="1"/>
  <c r="Q736" i="1"/>
  <c r="K736" i="1"/>
  <c r="Q704" i="1"/>
  <c r="Q706" i="1"/>
  <c r="Q708" i="1"/>
  <c r="Q710" i="1"/>
  <c r="Q712" i="1"/>
  <c r="Q714" i="1"/>
  <c r="Q722" i="1"/>
  <c r="Q703" i="1"/>
  <c r="Q705" i="1"/>
  <c r="Q709" i="1"/>
  <c r="Q711" i="1"/>
  <c r="Q715" i="1"/>
  <c r="Q721" i="1"/>
  <c r="Q723" i="1"/>
  <c r="Q729" i="1"/>
  <c r="Q718" i="1"/>
  <c r="Q720" i="1"/>
  <c r="Q726" i="1"/>
  <c r="Q728" i="1"/>
  <c r="Q687" i="1"/>
  <c r="Q669" i="1"/>
  <c r="Q576" i="1"/>
  <c r="Q580" i="1"/>
  <c r="Q602" i="1"/>
  <c r="Q609" i="1"/>
  <c r="Q655" i="1"/>
  <c r="Q619" i="1"/>
  <c r="Q623" i="1"/>
  <c r="Q670" i="1"/>
  <c r="Q614" i="1"/>
  <c r="Q620" i="1"/>
  <c r="Q642" i="1"/>
  <c r="Q673" i="1"/>
  <c r="Q681" i="1"/>
  <c r="Q613" i="1"/>
  <c r="Q641" i="1"/>
  <c r="Q672" i="1"/>
  <c r="Q682" i="1"/>
  <c r="Q607" i="1"/>
  <c r="Q608" i="1"/>
  <c r="Q586" i="1"/>
  <c r="Q601" i="1"/>
  <c r="Q581" i="1"/>
  <c r="Q600" i="1"/>
  <c r="Q587" i="1"/>
  <c r="Q553" i="1"/>
  <c r="Q594" i="1"/>
  <c r="Q552" i="1"/>
  <c r="Q565" i="1"/>
  <c r="Q592" i="1"/>
  <c r="Q551" i="1"/>
  <c r="Q566" i="1"/>
  <c r="Q583" i="1"/>
  <c r="Q591" i="1"/>
  <c r="Q598" i="1"/>
  <c r="Q573" i="1"/>
  <c r="Q577" i="1"/>
  <c r="Q582" i="1"/>
  <c r="Q595" i="1"/>
  <c r="Q597" i="1"/>
  <c r="Q536" i="1"/>
  <c r="Q533" i="1"/>
  <c r="Q535" i="1"/>
  <c r="Q543" i="1"/>
  <c r="Q532" i="1"/>
  <c r="Q542" i="1"/>
  <c r="N518" i="1" l="1"/>
  <c r="O518" i="1" s="1"/>
  <c r="N517" i="1"/>
  <c r="N515" i="1"/>
  <c r="O515" i="1" s="1"/>
  <c r="N516" i="1"/>
  <c r="O516" i="1" s="1"/>
  <c r="N505" i="1"/>
  <c r="N504" i="1"/>
  <c r="O504" i="1" s="1"/>
  <c r="N503" i="1"/>
  <c r="N499" i="1"/>
  <c r="O499" i="1" s="1"/>
  <c r="N494" i="1"/>
  <c r="O494" i="1" s="1"/>
  <c r="N495" i="1"/>
  <c r="O495" i="1" s="1"/>
  <c r="K489" i="1"/>
  <c r="K487" i="1"/>
  <c r="N481" i="1"/>
  <c r="O481" i="1" s="1"/>
  <c r="N479" i="1"/>
  <c r="O479" i="1" s="1"/>
  <c r="H476" i="1"/>
  <c r="H467" i="1"/>
  <c r="H468" i="1"/>
  <c r="H469" i="1"/>
  <c r="H470" i="1"/>
  <c r="H471" i="1"/>
  <c r="I471" i="1" s="1"/>
  <c r="K471" i="1"/>
  <c r="H466" i="1"/>
  <c r="K463" i="1"/>
  <c r="H463" i="1"/>
  <c r="I463" i="1" s="1"/>
  <c r="K462" i="1"/>
  <c r="K454" i="1"/>
  <c r="H454" i="1"/>
  <c r="I454" i="1" s="1"/>
  <c r="K447" i="1"/>
  <c r="H447" i="1"/>
  <c r="I447" i="1" s="1"/>
  <c r="H440" i="1"/>
  <c r="H433" i="1"/>
  <c r="H420" i="1"/>
  <c r="I420" i="1" s="1"/>
  <c r="K420" i="1"/>
  <c r="N420" i="1"/>
  <c r="O420" i="1" s="1"/>
  <c r="P420" i="1" s="1"/>
  <c r="H421" i="1"/>
  <c r="I421" i="1"/>
  <c r="K421" i="1"/>
  <c r="N421" i="1"/>
  <c r="O421" i="1" s="1"/>
  <c r="P421" i="1" s="1"/>
  <c r="H422" i="1"/>
  <c r="I422" i="1"/>
  <c r="K422" i="1"/>
  <c r="N422" i="1"/>
  <c r="O422" i="1" s="1"/>
  <c r="P422" i="1" s="1"/>
  <c r="H423" i="1"/>
  <c r="I423" i="1" s="1"/>
  <c r="K423" i="1"/>
  <c r="N423" i="1"/>
  <c r="O423" i="1"/>
  <c r="H424" i="1"/>
  <c r="N424" i="1"/>
  <c r="O424" i="1" s="1"/>
  <c r="H425" i="1"/>
  <c r="I425" i="1" s="1"/>
  <c r="K425" i="1"/>
  <c r="N425" i="1"/>
  <c r="O425" i="1"/>
  <c r="P425" i="1" s="1"/>
  <c r="H426" i="1"/>
  <c r="I426" i="1" s="1"/>
  <c r="K426" i="1"/>
  <c r="N426" i="1"/>
  <c r="O426" i="1"/>
  <c r="P426" i="1" s="1"/>
  <c r="H427" i="1"/>
  <c r="I427" i="1" s="1"/>
  <c r="K427" i="1"/>
  <c r="N427" i="1"/>
  <c r="O427" i="1"/>
  <c r="P427" i="1" s="1"/>
  <c r="H428" i="1"/>
  <c r="I428" i="1" s="1"/>
  <c r="K428" i="1"/>
  <c r="N428" i="1"/>
  <c r="O428" i="1" s="1"/>
  <c r="P428" i="1" s="1"/>
  <c r="N411" i="1"/>
  <c r="O411" i="1" s="1"/>
  <c r="P411" i="1" s="1"/>
  <c r="K411" i="1"/>
  <c r="I411" i="1"/>
  <c r="N416" i="1"/>
  <c r="O416" i="1" s="1"/>
  <c r="P416" i="1" s="1"/>
  <c r="K416" i="1"/>
  <c r="N415" i="1"/>
  <c r="O415" i="1" s="1"/>
  <c r="P415" i="1" s="1"/>
  <c r="K415" i="1"/>
  <c r="N414" i="1"/>
  <c r="O414" i="1" s="1"/>
  <c r="P414" i="1" s="1"/>
  <c r="K414" i="1"/>
  <c r="N412" i="1"/>
  <c r="K412" i="1"/>
  <c r="N410" i="1"/>
  <c r="K410" i="1"/>
  <c r="N406" i="1"/>
  <c r="O406" i="1" s="1"/>
  <c r="P406" i="1" s="1"/>
  <c r="K406" i="1"/>
  <c r="H406" i="1"/>
  <c r="I406" i="1" s="1"/>
  <c r="N405" i="1"/>
  <c r="O405" i="1" s="1"/>
  <c r="P405" i="1" s="1"/>
  <c r="K405" i="1"/>
  <c r="H405" i="1"/>
  <c r="I405" i="1" s="1"/>
  <c r="K404" i="1"/>
  <c r="H404" i="1"/>
  <c r="I404" i="1" s="1"/>
  <c r="K403" i="1"/>
  <c r="K402" i="1"/>
  <c r="K401" i="1"/>
  <c r="K400" i="1"/>
  <c r="K399" i="1"/>
  <c r="K398" i="1"/>
  <c r="K397" i="1"/>
  <c r="K396" i="1"/>
  <c r="K393" i="1"/>
  <c r="K390" i="1"/>
  <c r="K389" i="1"/>
  <c r="K388" i="1"/>
  <c r="H388" i="1"/>
  <c r="I388" i="1" s="1"/>
  <c r="K387" i="1"/>
  <c r="H387" i="1"/>
  <c r="I387" i="1" s="1"/>
  <c r="K384" i="1"/>
  <c r="N384" i="1"/>
  <c r="O384" i="1" s="1"/>
  <c r="P384" i="1" s="1"/>
  <c r="N383" i="1"/>
  <c r="O383" i="1" s="1"/>
  <c r="P383" i="1" s="1"/>
  <c r="K383" i="1"/>
  <c r="N382" i="1"/>
  <c r="O382" i="1" s="1"/>
  <c r="P382" i="1" s="1"/>
  <c r="K382" i="1"/>
  <c r="N381" i="1"/>
  <c r="O381" i="1" s="1"/>
  <c r="P381" i="1" s="1"/>
  <c r="K381" i="1"/>
  <c r="N380" i="1"/>
  <c r="O380" i="1" s="1"/>
  <c r="P380" i="1" s="1"/>
  <c r="K380" i="1"/>
  <c r="N378" i="1"/>
  <c r="O378" i="1" s="1"/>
  <c r="P378" i="1" s="1"/>
  <c r="K378" i="1"/>
  <c r="K377" i="1"/>
  <c r="N376" i="1"/>
  <c r="O376" i="1" s="1"/>
  <c r="H376" i="1"/>
  <c r="K374" i="1"/>
  <c r="H374" i="1"/>
  <c r="I374" i="1" s="1"/>
  <c r="K373" i="1"/>
  <c r="K372" i="1"/>
  <c r="H372" i="1"/>
  <c r="I372" i="1" s="1"/>
  <c r="K371" i="1"/>
  <c r="H371" i="1"/>
  <c r="I371" i="1" s="1"/>
  <c r="N459" i="1"/>
  <c r="O459" i="1" s="1"/>
  <c r="H459" i="1"/>
  <c r="N458" i="1"/>
  <c r="O458" i="1" s="1"/>
  <c r="H458" i="1"/>
  <c r="N457" i="1"/>
  <c r="O457" i="1" s="1"/>
  <c r="H457" i="1"/>
  <c r="N456" i="1"/>
  <c r="O456" i="1" s="1"/>
  <c r="H456" i="1"/>
  <c r="N455" i="1"/>
  <c r="O455" i="1" s="1"/>
  <c r="H455" i="1"/>
  <c r="N452" i="1"/>
  <c r="O452" i="1" s="1"/>
  <c r="H452" i="1"/>
  <c r="N451" i="1"/>
  <c r="O451" i="1" s="1"/>
  <c r="H451" i="1"/>
  <c r="N450" i="1"/>
  <c r="O450" i="1" s="1"/>
  <c r="H450" i="1"/>
  <c r="N449" i="1"/>
  <c r="O449" i="1" s="1"/>
  <c r="H449" i="1"/>
  <c r="N448" i="1"/>
  <c r="O448" i="1" s="1"/>
  <c r="H448" i="1"/>
  <c r="N445" i="1"/>
  <c r="O445" i="1" s="1"/>
  <c r="H445" i="1"/>
  <c r="N444" i="1"/>
  <c r="O444" i="1" s="1"/>
  <c r="H444" i="1"/>
  <c r="N443" i="1"/>
  <c r="O443" i="1" s="1"/>
  <c r="H443" i="1"/>
  <c r="N442" i="1"/>
  <c r="O442" i="1" s="1"/>
  <c r="H442" i="1"/>
  <c r="N441" i="1"/>
  <c r="O441" i="1" s="1"/>
  <c r="H441" i="1"/>
  <c r="K337" i="1"/>
  <c r="K355" i="1"/>
  <c r="K366" i="1"/>
  <c r="H366" i="1"/>
  <c r="I366" i="1" s="1"/>
  <c r="K365" i="1"/>
  <c r="H365" i="1"/>
  <c r="I365" i="1" s="1"/>
  <c r="K362" i="1"/>
  <c r="H362" i="1"/>
  <c r="I362" i="1" s="1"/>
  <c r="K361" i="1"/>
  <c r="H361" i="1"/>
  <c r="I361" i="1" s="1"/>
  <c r="H360" i="1"/>
  <c r="I360" i="1" s="1"/>
  <c r="K359" i="1"/>
  <c r="H359" i="1"/>
  <c r="I359" i="1" s="1"/>
  <c r="K358" i="1"/>
  <c r="H358" i="1"/>
  <c r="I358" i="1" s="1"/>
  <c r="K357" i="1"/>
  <c r="H357" i="1"/>
  <c r="I357" i="1" s="1"/>
  <c r="H356" i="1"/>
  <c r="I356" i="1" s="1"/>
  <c r="K354" i="1"/>
  <c r="H354" i="1"/>
  <c r="I354" i="1" s="1"/>
  <c r="K353" i="1"/>
  <c r="H353" i="1"/>
  <c r="I353" i="1" s="1"/>
  <c r="K343" i="1"/>
  <c r="H343" i="1"/>
  <c r="I343" i="1" s="1"/>
  <c r="K340" i="1"/>
  <c r="H340" i="1"/>
  <c r="I340" i="1" s="1"/>
  <c r="K334" i="1"/>
  <c r="H334" i="1"/>
  <c r="I334" i="1" s="1"/>
  <c r="K333" i="1"/>
  <c r="H333" i="1"/>
  <c r="I333" i="1" s="1"/>
  <c r="K332" i="1"/>
  <c r="H332" i="1"/>
  <c r="I332" i="1" s="1"/>
  <c r="K331" i="1"/>
  <c r="H331" i="1"/>
  <c r="I331" i="1" s="1"/>
  <c r="K330" i="1"/>
  <c r="H330" i="1"/>
  <c r="I330" i="1" s="1"/>
  <c r="K329" i="1"/>
  <c r="H329" i="1"/>
  <c r="I329" i="1" s="1"/>
  <c r="K328" i="1"/>
  <c r="H328" i="1"/>
  <c r="I328" i="1" s="1"/>
  <c r="K327" i="1"/>
  <c r="H327" i="1"/>
  <c r="I327" i="1" s="1"/>
  <c r="K324" i="1"/>
  <c r="H324" i="1"/>
  <c r="I324" i="1" s="1"/>
  <c r="K323" i="1"/>
  <c r="H323" i="1"/>
  <c r="I323" i="1" s="1"/>
  <c r="K322" i="1"/>
  <c r="H322" i="1"/>
  <c r="I322" i="1" s="1"/>
  <c r="K321" i="1"/>
  <c r="H321" i="1"/>
  <c r="I321" i="1" s="1"/>
  <c r="K320" i="1"/>
  <c r="H320" i="1"/>
  <c r="I320" i="1" s="1"/>
  <c r="K319" i="1"/>
  <c r="H319" i="1"/>
  <c r="I319" i="1" s="1"/>
  <c r="K318" i="1"/>
  <c r="H318" i="1"/>
  <c r="I318" i="1" s="1"/>
  <c r="K317" i="1"/>
  <c r="H317" i="1"/>
  <c r="I317" i="1" s="1"/>
  <c r="K316" i="1"/>
  <c r="H316" i="1"/>
  <c r="I316" i="1" s="1"/>
  <c r="K315" i="1"/>
  <c r="H315" i="1"/>
  <c r="I315" i="1" s="1"/>
  <c r="K308" i="1"/>
  <c r="H308" i="1"/>
  <c r="I308" i="1" s="1"/>
  <c r="K305" i="1"/>
  <c r="H305" i="1"/>
  <c r="I305" i="1" s="1"/>
  <c r="K304" i="1"/>
  <c r="H304" i="1"/>
  <c r="I304" i="1" s="1"/>
  <c r="K303" i="1"/>
  <c r="H303" i="1"/>
  <c r="I303" i="1" s="1"/>
  <c r="K302" i="1"/>
  <c r="H302" i="1"/>
  <c r="I302" i="1" s="1"/>
  <c r="K301" i="1"/>
  <c r="H301" i="1"/>
  <c r="I301" i="1" s="1"/>
  <c r="K298" i="1"/>
  <c r="H298" i="1"/>
  <c r="I298" i="1" s="1"/>
  <c r="K295" i="1"/>
  <c r="H295" i="1"/>
  <c r="I295" i="1" s="1"/>
  <c r="K292" i="1"/>
  <c r="H292" i="1"/>
  <c r="I292" i="1" s="1"/>
  <c r="K289" i="1"/>
  <c r="H289" i="1"/>
  <c r="I289" i="1" s="1"/>
  <c r="K288" i="1"/>
  <c r="H288" i="1"/>
  <c r="I288" i="1" s="1"/>
  <c r="K287" i="1"/>
  <c r="H287" i="1"/>
  <c r="I287" i="1" s="1"/>
  <c r="K284" i="1"/>
  <c r="H284" i="1"/>
  <c r="I284" i="1" s="1"/>
  <c r="K283" i="1"/>
  <c r="H283" i="1"/>
  <c r="I283" i="1" s="1"/>
  <c r="H280" i="1"/>
  <c r="H279" i="1"/>
  <c r="K276" i="1"/>
  <c r="H276" i="1"/>
  <c r="I276" i="1" s="1"/>
  <c r="H273" i="1"/>
  <c r="K272" i="1"/>
  <c r="H272" i="1"/>
  <c r="I272" i="1" s="1"/>
  <c r="H271" i="1"/>
  <c r="K268" i="1"/>
  <c r="H268" i="1"/>
  <c r="I268" i="1" s="1"/>
  <c r="K267" i="1"/>
  <c r="H267" i="1"/>
  <c r="I267" i="1" s="1"/>
  <c r="K264" i="1"/>
  <c r="H264" i="1"/>
  <c r="I264" i="1" s="1"/>
  <c r="H260" i="1"/>
  <c r="N261" i="1"/>
  <c r="O261" i="1" s="1"/>
  <c r="P261" i="1" s="1"/>
  <c r="K261" i="1"/>
  <c r="H261" i="1"/>
  <c r="I261" i="1" s="1"/>
  <c r="K259" i="1"/>
  <c r="H259" i="1"/>
  <c r="I259" i="1" s="1"/>
  <c r="K258" i="1"/>
  <c r="H258" i="1"/>
  <c r="I258" i="1" s="1"/>
  <c r="K257" i="1"/>
  <c r="H257" i="1"/>
  <c r="I257" i="1" s="1"/>
  <c r="K256" i="1"/>
  <c r="H256" i="1"/>
  <c r="I256" i="1" s="1"/>
  <c r="H253" i="1"/>
  <c r="H252" i="1"/>
  <c r="H247" i="1"/>
  <c r="H249" i="1"/>
  <c r="H248" i="1"/>
  <c r="K244" i="1"/>
  <c r="H244" i="1"/>
  <c r="I244" i="1" s="1"/>
  <c r="H226" i="1"/>
  <c r="H225" i="1"/>
  <c r="N228" i="1"/>
  <c r="O228" i="1" s="1"/>
  <c r="H207" i="1"/>
  <c r="K189" i="1"/>
  <c r="N189" i="1"/>
  <c r="N188" i="1"/>
  <c r="O188" i="1" s="1"/>
  <c r="P188" i="1" s="1"/>
  <c r="K188" i="1"/>
  <c r="N187" i="1"/>
  <c r="O187" i="1" s="1"/>
  <c r="N186" i="1"/>
  <c r="O186" i="1" s="1"/>
  <c r="N185" i="1"/>
  <c r="O185" i="1" s="1"/>
  <c r="N184" i="1"/>
  <c r="O184" i="1" s="1"/>
  <c r="N183" i="1"/>
  <c r="O183" i="1" s="1"/>
  <c r="N222" i="1"/>
  <c r="N221" i="1"/>
  <c r="N220" i="1"/>
  <c r="N219" i="1"/>
  <c r="K219" i="1"/>
  <c r="H227" i="1"/>
  <c r="H212" i="1"/>
  <c r="H211" i="1"/>
  <c r="H210" i="1"/>
  <c r="K204" i="1"/>
  <c r="H204" i="1"/>
  <c r="I204" i="1" s="1"/>
  <c r="H203" i="1"/>
  <c r="H202" i="1"/>
  <c r="H201" i="1"/>
  <c r="H200" i="1"/>
  <c r="H197" i="1"/>
  <c r="H178" i="1"/>
  <c r="H177" i="1"/>
  <c r="H174" i="1"/>
  <c r="K172" i="1"/>
  <c r="H172" i="1"/>
  <c r="I172" i="1" s="1"/>
  <c r="H173" i="1"/>
  <c r="H171" i="1"/>
  <c r="H170" i="1"/>
  <c r="H167" i="1"/>
  <c r="K166" i="1"/>
  <c r="H166" i="1"/>
  <c r="I166" i="1" s="1"/>
  <c r="K165" i="1"/>
  <c r="H165" i="1"/>
  <c r="I165" i="1" s="1"/>
  <c r="K164" i="1"/>
  <c r="H164" i="1"/>
  <c r="I164" i="1" s="1"/>
  <c r="K161" i="1"/>
  <c r="H161" i="1"/>
  <c r="I161" i="1" s="1"/>
  <c r="H157" i="1"/>
  <c r="H156" i="1"/>
  <c r="H158" i="1"/>
  <c r="K151" i="1"/>
  <c r="H151" i="1"/>
  <c r="I151" i="1" s="1"/>
  <c r="K150" i="1"/>
  <c r="H150" i="1"/>
  <c r="I150" i="1" s="1"/>
  <c r="K149" i="1"/>
  <c r="H149" i="1"/>
  <c r="I149" i="1" s="1"/>
  <c r="K141" i="1"/>
  <c r="H141" i="1"/>
  <c r="I141" i="1" s="1"/>
  <c r="K143" i="1"/>
  <c r="H143" i="1"/>
  <c r="I143" i="1" s="1"/>
  <c r="K142" i="1"/>
  <c r="H142" i="1"/>
  <c r="I142" i="1" s="1"/>
  <c r="K148" i="1"/>
  <c r="H148" i="1"/>
  <c r="I148" i="1" s="1"/>
  <c r="K146" i="1"/>
  <c r="H146" i="1"/>
  <c r="I146" i="1" s="1"/>
  <c r="K147" i="1"/>
  <c r="H147" i="1"/>
  <c r="I147" i="1" s="1"/>
  <c r="K145" i="1"/>
  <c r="H145" i="1"/>
  <c r="I145" i="1" s="1"/>
  <c r="K144" i="1"/>
  <c r="H144" i="1"/>
  <c r="I144" i="1" s="1"/>
  <c r="K140" i="1"/>
  <c r="H140" i="1"/>
  <c r="I140" i="1" s="1"/>
  <c r="K139" i="1"/>
  <c r="H139" i="1"/>
  <c r="I139" i="1" s="1"/>
  <c r="K138" i="1"/>
  <c r="H138" i="1"/>
  <c r="I138" i="1" s="1"/>
  <c r="H130" i="1"/>
  <c r="H135" i="1"/>
  <c r="H134" i="1"/>
  <c r="H131" i="1"/>
  <c r="H129" i="1"/>
  <c r="H128" i="1"/>
  <c r="H127" i="1"/>
  <c r="H126" i="1"/>
  <c r="H125" i="1"/>
  <c r="H124" i="1"/>
  <c r="K123" i="1"/>
  <c r="H123" i="1"/>
  <c r="I123" i="1" s="1"/>
  <c r="H122" i="1"/>
  <c r="H119" i="1"/>
  <c r="H118" i="1"/>
  <c r="N118" i="1"/>
  <c r="H117" i="1"/>
  <c r="N114" i="1"/>
  <c r="O114" i="1" s="1"/>
  <c r="P114" i="1" s="1"/>
  <c r="K114" i="1"/>
  <c r="H114" i="1"/>
  <c r="I114" i="1" s="1"/>
  <c r="K108" i="1"/>
  <c r="H108" i="1"/>
  <c r="I108" i="1" s="1"/>
  <c r="H98" i="1"/>
  <c r="N97" i="1"/>
  <c r="O97" i="1" s="1"/>
  <c r="H97" i="1"/>
  <c r="K92" i="1"/>
  <c r="K93" i="1"/>
  <c r="H93" i="1"/>
  <c r="I93" i="1" s="1"/>
  <c r="K94" i="1"/>
  <c r="H94" i="1"/>
  <c r="I94" i="1" s="1"/>
  <c r="H89" i="1"/>
  <c r="H88" i="1"/>
  <c r="H87" i="1"/>
  <c r="H86" i="1"/>
  <c r="K81" i="1"/>
  <c r="H81" i="1"/>
  <c r="I81" i="1" s="1"/>
  <c r="K78" i="1"/>
  <c r="H78" i="1"/>
  <c r="I78" i="1" s="1"/>
  <c r="K75" i="1"/>
  <c r="H75" i="1"/>
  <c r="I75" i="1" s="1"/>
  <c r="H70" i="1"/>
  <c r="H69" i="1"/>
  <c r="H66" i="1"/>
  <c r="H65" i="1"/>
  <c r="K68" i="1"/>
  <c r="H68" i="1"/>
  <c r="I68" i="1" s="1"/>
  <c r="H64" i="1"/>
  <c r="H59" i="1"/>
  <c r="H56" i="1"/>
  <c r="H55" i="1"/>
  <c r="H52" i="1"/>
  <c r="K49" i="1"/>
  <c r="H49" i="1"/>
  <c r="I49" i="1" s="1"/>
  <c r="K45" i="1"/>
  <c r="H45" i="1"/>
  <c r="I45" i="1" s="1"/>
  <c r="K46" i="1"/>
  <c r="H46" i="1"/>
  <c r="I46" i="1" s="1"/>
  <c r="K40" i="1"/>
  <c r="K39" i="1"/>
  <c r="K38" i="1"/>
  <c r="H38" i="1"/>
  <c r="I38" i="1" s="1"/>
  <c r="K37" i="1"/>
  <c r="H37" i="1"/>
  <c r="I37" i="1" s="1"/>
  <c r="K36" i="1"/>
  <c r="H36" i="1"/>
  <c r="I36" i="1" s="1"/>
  <c r="N753" i="1"/>
  <c r="O753" i="1" s="1"/>
  <c r="P753" i="1" s="1"/>
  <c r="K753" i="1"/>
  <c r="H753" i="1"/>
  <c r="I753" i="1" s="1"/>
  <c r="N748" i="1"/>
  <c r="O748" i="1" s="1"/>
  <c r="P748" i="1" s="1"/>
  <c r="K748" i="1"/>
  <c r="H748" i="1"/>
  <c r="I748" i="1" s="1"/>
  <c r="N747" i="1"/>
  <c r="O747" i="1" s="1"/>
  <c r="P747" i="1" s="1"/>
  <c r="K747" i="1"/>
  <c r="H747" i="1"/>
  <c r="I747" i="1" s="1"/>
  <c r="N745" i="1"/>
  <c r="O745" i="1" s="1"/>
  <c r="P745" i="1" s="1"/>
  <c r="K745" i="1"/>
  <c r="H745" i="1"/>
  <c r="I745" i="1" s="1"/>
  <c r="N743" i="1"/>
  <c r="O743" i="1" s="1"/>
  <c r="P743" i="1" s="1"/>
  <c r="K743" i="1"/>
  <c r="H743" i="1"/>
  <c r="I743" i="1" s="1"/>
  <c r="N737" i="1"/>
  <c r="O737" i="1" s="1"/>
  <c r="P737" i="1" s="1"/>
  <c r="K737" i="1"/>
  <c r="H737" i="1"/>
  <c r="I737" i="1" s="1"/>
  <c r="N733" i="1"/>
  <c r="O733" i="1" s="1"/>
  <c r="P733" i="1" s="1"/>
  <c r="K733" i="1"/>
  <c r="H733" i="1"/>
  <c r="I733" i="1" s="1"/>
  <c r="N732" i="1"/>
  <c r="O732" i="1" s="1"/>
  <c r="P732" i="1" s="1"/>
  <c r="K732" i="1"/>
  <c r="H732" i="1"/>
  <c r="I732" i="1" s="1"/>
  <c r="N730" i="1"/>
  <c r="O730" i="1" s="1"/>
  <c r="P730" i="1" s="1"/>
  <c r="K730" i="1"/>
  <c r="H730" i="1"/>
  <c r="I730" i="1" s="1"/>
  <c r="N702" i="1"/>
  <c r="O702" i="1" s="1"/>
  <c r="P702" i="1" s="1"/>
  <c r="K702" i="1"/>
  <c r="H702" i="1"/>
  <c r="I702" i="1" s="1"/>
  <c r="N701" i="1"/>
  <c r="O701" i="1" s="1"/>
  <c r="P701" i="1" s="1"/>
  <c r="K701" i="1"/>
  <c r="H701" i="1"/>
  <c r="I701" i="1" s="1"/>
  <c r="N699" i="1"/>
  <c r="O699" i="1" s="1"/>
  <c r="P699" i="1" s="1"/>
  <c r="N698" i="1"/>
  <c r="O698" i="1" s="1"/>
  <c r="N697" i="1"/>
  <c r="O697" i="1" s="1"/>
  <c r="P697" i="1" s="1"/>
  <c r="N696" i="1"/>
  <c r="O696" i="1" s="1"/>
  <c r="P696" i="1" s="1"/>
  <c r="N695" i="1"/>
  <c r="O695" i="1" s="1"/>
  <c r="N694" i="1"/>
  <c r="O694" i="1" s="1"/>
  <c r="P694" i="1" s="1"/>
  <c r="N693" i="1"/>
  <c r="O693" i="1" s="1"/>
  <c r="P693" i="1" s="1"/>
  <c r="N692" i="1"/>
  <c r="O692" i="1" s="1"/>
  <c r="N691" i="1"/>
  <c r="O691" i="1" s="1"/>
  <c r="P691" i="1" s="1"/>
  <c r="K691" i="1"/>
  <c r="H691" i="1"/>
  <c r="I691" i="1" s="1"/>
  <c r="N690" i="1"/>
  <c r="O690" i="1" s="1"/>
  <c r="P690" i="1" s="1"/>
  <c r="K690" i="1"/>
  <c r="H690" i="1"/>
  <c r="I690" i="1" s="1"/>
  <c r="N688" i="1"/>
  <c r="O688" i="1" s="1"/>
  <c r="P688" i="1" s="1"/>
  <c r="K688" i="1"/>
  <c r="H688" i="1"/>
  <c r="I688" i="1" s="1"/>
  <c r="N611" i="1"/>
  <c r="O611" i="1" s="1"/>
  <c r="P611" i="1" s="1"/>
  <c r="K611" i="1"/>
  <c r="H611" i="1"/>
  <c r="I611" i="1" s="1"/>
  <c r="N606" i="1"/>
  <c r="O606" i="1" s="1"/>
  <c r="P606" i="1" s="1"/>
  <c r="K606" i="1"/>
  <c r="H606" i="1"/>
  <c r="I606" i="1" s="1"/>
  <c r="N605" i="1"/>
  <c r="O605" i="1" s="1"/>
  <c r="P605" i="1" s="1"/>
  <c r="K605" i="1"/>
  <c r="H605" i="1"/>
  <c r="I605" i="1" s="1"/>
  <c r="N603" i="1"/>
  <c r="O603" i="1" s="1"/>
  <c r="P603" i="1" s="1"/>
  <c r="K603" i="1"/>
  <c r="H603" i="1"/>
  <c r="I603" i="1" s="1"/>
  <c r="N549" i="1"/>
  <c r="O549" i="1" s="1"/>
  <c r="P549" i="1" s="1"/>
  <c r="K549" i="1"/>
  <c r="H549" i="1"/>
  <c r="I549" i="1" s="1"/>
  <c r="N548" i="1"/>
  <c r="O548" i="1" s="1"/>
  <c r="N547" i="1"/>
  <c r="O547" i="1" s="1"/>
  <c r="P547" i="1" s="1"/>
  <c r="K547" i="1"/>
  <c r="H547" i="1"/>
  <c r="I547" i="1" s="1"/>
  <c r="N546" i="1"/>
  <c r="O546" i="1" s="1"/>
  <c r="P546" i="1" s="1"/>
  <c r="K546" i="1"/>
  <c r="H546" i="1"/>
  <c r="I546" i="1" s="1"/>
  <c r="N544" i="1"/>
  <c r="O544" i="1" s="1"/>
  <c r="P544" i="1" s="1"/>
  <c r="K544" i="1"/>
  <c r="H544" i="1"/>
  <c r="I544" i="1" s="1"/>
  <c r="N528" i="1"/>
  <c r="O528" i="1" s="1"/>
  <c r="P528" i="1" s="1"/>
  <c r="K528" i="1"/>
  <c r="H528" i="1"/>
  <c r="I528" i="1" s="1"/>
  <c r="N527" i="1"/>
  <c r="O527" i="1" s="1"/>
  <c r="P527" i="1" s="1"/>
  <c r="K527" i="1"/>
  <c r="H527" i="1"/>
  <c r="I527" i="1" s="1"/>
  <c r="N525" i="1"/>
  <c r="O525" i="1" s="1"/>
  <c r="P525" i="1" s="1"/>
  <c r="K525" i="1"/>
  <c r="H525" i="1"/>
  <c r="I525" i="1" s="1"/>
  <c r="N524" i="1"/>
  <c r="O524" i="1" s="1"/>
  <c r="N523" i="1"/>
  <c r="O523" i="1" s="1"/>
  <c r="N522" i="1"/>
  <c r="O522" i="1" s="1"/>
  <c r="H522" i="1"/>
  <c r="N521" i="1"/>
  <c r="O521" i="1" s="1"/>
  <c r="N520" i="1"/>
  <c r="O520" i="1" s="1"/>
  <c r="N519" i="1"/>
  <c r="O519" i="1" s="1"/>
  <c r="O517" i="1"/>
  <c r="N514" i="1"/>
  <c r="O514" i="1" s="1"/>
  <c r="N513" i="1"/>
  <c r="O513" i="1" s="1"/>
  <c r="P513" i="1" s="1"/>
  <c r="K513" i="1"/>
  <c r="H513" i="1"/>
  <c r="I513" i="1" s="1"/>
  <c r="N512" i="1"/>
  <c r="O512" i="1" s="1"/>
  <c r="P512" i="1" s="1"/>
  <c r="K512" i="1"/>
  <c r="H512" i="1"/>
  <c r="I512" i="1" s="1"/>
  <c r="N510" i="1"/>
  <c r="O510" i="1" s="1"/>
  <c r="P510" i="1" s="1"/>
  <c r="K510" i="1"/>
  <c r="H510" i="1"/>
  <c r="I510" i="1" s="1"/>
  <c r="N509" i="1"/>
  <c r="O509" i="1" s="1"/>
  <c r="P509" i="1" s="1"/>
  <c r="K509" i="1"/>
  <c r="I509" i="1"/>
  <c r="N508" i="1"/>
  <c r="O508" i="1" s="1"/>
  <c r="P508" i="1" s="1"/>
  <c r="K508" i="1"/>
  <c r="I508" i="1"/>
  <c r="N507" i="1"/>
  <c r="O507" i="1" s="1"/>
  <c r="P507" i="1" s="1"/>
  <c r="K507" i="1"/>
  <c r="H507" i="1"/>
  <c r="I507" i="1" s="1"/>
  <c r="N506" i="1"/>
  <c r="O506" i="1" s="1"/>
  <c r="P506" i="1" s="1"/>
  <c r="K506" i="1"/>
  <c r="H506" i="1"/>
  <c r="I506" i="1" s="1"/>
  <c r="O505" i="1"/>
  <c r="O503" i="1"/>
  <c r="N502" i="1"/>
  <c r="O502" i="1" s="1"/>
  <c r="P502" i="1" s="1"/>
  <c r="K502" i="1"/>
  <c r="H502" i="1"/>
  <c r="I502" i="1" s="1"/>
  <c r="N501" i="1"/>
  <c r="O501" i="1" s="1"/>
  <c r="P501" i="1" s="1"/>
  <c r="K501" i="1"/>
  <c r="H501" i="1"/>
  <c r="I501" i="1" s="1"/>
  <c r="N500" i="1"/>
  <c r="O500" i="1" s="1"/>
  <c r="P500" i="1" s="1"/>
  <c r="K500" i="1"/>
  <c r="H500" i="1"/>
  <c r="I500" i="1" s="1"/>
  <c r="N498" i="1"/>
  <c r="O498" i="1" s="1"/>
  <c r="P498" i="1" s="1"/>
  <c r="K498" i="1"/>
  <c r="H498" i="1"/>
  <c r="I498" i="1" s="1"/>
  <c r="N497" i="1"/>
  <c r="O497" i="1" s="1"/>
  <c r="P497" i="1" s="1"/>
  <c r="K497" i="1"/>
  <c r="H497" i="1"/>
  <c r="I497" i="1" s="1"/>
  <c r="N496" i="1"/>
  <c r="O496" i="1" s="1"/>
  <c r="H496" i="1"/>
  <c r="N493" i="1"/>
  <c r="O493" i="1" s="1"/>
  <c r="N492" i="1"/>
  <c r="O492" i="1" s="1"/>
  <c r="H492" i="1"/>
  <c r="N491" i="1"/>
  <c r="O491" i="1" s="1"/>
  <c r="N490" i="1"/>
  <c r="O490" i="1" s="1"/>
  <c r="N489" i="1"/>
  <c r="O489" i="1" s="1"/>
  <c r="P489" i="1" s="1"/>
  <c r="I489" i="1"/>
  <c r="N488" i="1"/>
  <c r="O488" i="1" s="1"/>
  <c r="N487" i="1"/>
  <c r="O487" i="1" s="1"/>
  <c r="P487" i="1" s="1"/>
  <c r="I487" i="1"/>
  <c r="N486" i="1"/>
  <c r="O486" i="1" s="1"/>
  <c r="N485" i="1"/>
  <c r="O485" i="1" s="1"/>
  <c r="N484" i="1"/>
  <c r="O484" i="1" s="1"/>
  <c r="N483" i="1"/>
  <c r="O483" i="1" s="1"/>
  <c r="N482" i="1"/>
  <c r="O482" i="1" s="1"/>
  <c r="N480" i="1"/>
  <c r="O480" i="1" s="1"/>
  <c r="N478" i="1"/>
  <c r="O478" i="1" s="1"/>
  <c r="N477" i="1"/>
  <c r="O477" i="1" s="1"/>
  <c r="N476" i="1"/>
  <c r="O476" i="1" s="1"/>
  <c r="N475" i="1"/>
  <c r="O475" i="1" s="1"/>
  <c r="P475" i="1" s="1"/>
  <c r="K475" i="1"/>
  <c r="H475" i="1"/>
  <c r="I475" i="1" s="1"/>
  <c r="N474" i="1"/>
  <c r="O474" i="1" s="1"/>
  <c r="P474" i="1" s="1"/>
  <c r="K474" i="1"/>
  <c r="H474" i="1"/>
  <c r="I474" i="1" s="1"/>
  <c r="N472" i="1"/>
  <c r="O472" i="1" s="1"/>
  <c r="P472" i="1" s="1"/>
  <c r="K472" i="1"/>
  <c r="H472" i="1"/>
  <c r="I472" i="1" s="1"/>
  <c r="N471" i="1"/>
  <c r="O471" i="1" s="1"/>
  <c r="P471" i="1" s="1"/>
  <c r="N470" i="1"/>
  <c r="O470" i="1" s="1"/>
  <c r="N469" i="1"/>
  <c r="O469" i="1" s="1"/>
  <c r="N468" i="1"/>
  <c r="O468" i="1" s="1"/>
  <c r="N467" i="1"/>
  <c r="O467" i="1" s="1"/>
  <c r="N466" i="1"/>
  <c r="O466" i="1" s="1"/>
  <c r="N465" i="1"/>
  <c r="O465" i="1" s="1"/>
  <c r="P465" i="1" s="1"/>
  <c r="K465" i="1"/>
  <c r="H465" i="1"/>
  <c r="I465" i="1" s="1"/>
  <c r="N464" i="1"/>
  <c r="O464" i="1" s="1"/>
  <c r="P464" i="1" s="1"/>
  <c r="K464" i="1"/>
  <c r="H464" i="1"/>
  <c r="I464" i="1" s="1"/>
  <c r="N463" i="1"/>
  <c r="O463" i="1" s="1"/>
  <c r="P463" i="1" s="1"/>
  <c r="N462" i="1"/>
  <c r="O462" i="1" s="1"/>
  <c r="P462" i="1" s="1"/>
  <c r="I462" i="1"/>
  <c r="N461" i="1"/>
  <c r="O461" i="1" s="1"/>
  <c r="P461" i="1" s="1"/>
  <c r="K461" i="1"/>
  <c r="H461" i="1"/>
  <c r="I461" i="1" s="1"/>
  <c r="N460" i="1"/>
  <c r="O460" i="1" s="1"/>
  <c r="P460" i="1" s="1"/>
  <c r="K460" i="1"/>
  <c r="H460" i="1"/>
  <c r="I460" i="1" s="1"/>
  <c r="N454" i="1"/>
  <c r="O454" i="1" s="1"/>
  <c r="P454" i="1" s="1"/>
  <c r="N453" i="1"/>
  <c r="O453" i="1" s="1"/>
  <c r="P453" i="1" s="1"/>
  <c r="K453" i="1"/>
  <c r="H453" i="1"/>
  <c r="I453" i="1" s="1"/>
  <c r="N447" i="1"/>
  <c r="O447" i="1" s="1"/>
  <c r="P447" i="1" s="1"/>
  <c r="N446" i="1"/>
  <c r="O446" i="1" s="1"/>
  <c r="P446" i="1" s="1"/>
  <c r="K446" i="1"/>
  <c r="H446" i="1"/>
  <c r="I446" i="1" s="1"/>
  <c r="N440" i="1"/>
  <c r="O440" i="1" s="1"/>
  <c r="N439" i="1"/>
  <c r="O439" i="1" s="1"/>
  <c r="P439" i="1" s="1"/>
  <c r="K439" i="1"/>
  <c r="H439" i="1"/>
  <c r="I439" i="1" s="1"/>
  <c r="Q439" i="1" s="1"/>
  <c r="N438" i="1"/>
  <c r="O438" i="1" s="1"/>
  <c r="H438" i="1"/>
  <c r="N437" i="1"/>
  <c r="O437" i="1" s="1"/>
  <c r="H437" i="1"/>
  <c r="N436" i="1"/>
  <c r="O436" i="1" s="1"/>
  <c r="H436" i="1"/>
  <c r="N435" i="1"/>
  <c r="O435" i="1" s="1"/>
  <c r="H435" i="1"/>
  <c r="N434" i="1"/>
  <c r="O434" i="1" s="1"/>
  <c r="H434" i="1"/>
  <c r="N433" i="1"/>
  <c r="O433" i="1" s="1"/>
  <c r="N432" i="1"/>
  <c r="O432" i="1" s="1"/>
  <c r="P432" i="1" s="1"/>
  <c r="K432" i="1"/>
  <c r="H432" i="1"/>
  <c r="I432" i="1" s="1"/>
  <c r="N431" i="1"/>
  <c r="O431" i="1" s="1"/>
  <c r="P431" i="1" s="1"/>
  <c r="K431" i="1"/>
  <c r="H431" i="1"/>
  <c r="I431" i="1" s="1"/>
  <c r="N430" i="1"/>
  <c r="O430" i="1" s="1"/>
  <c r="P430" i="1" s="1"/>
  <c r="K430" i="1"/>
  <c r="H430" i="1"/>
  <c r="I430" i="1" s="1"/>
  <c r="N429" i="1"/>
  <c r="O429" i="1" s="1"/>
  <c r="P429" i="1" s="1"/>
  <c r="K429" i="1"/>
  <c r="H429" i="1"/>
  <c r="I429" i="1" s="1"/>
  <c r="P423" i="1"/>
  <c r="N419" i="1"/>
  <c r="O419" i="1" s="1"/>
  <c r="H419" i="1"/>
  <c r="N418" i="1"/>
  <c r="O418" i="1" s="1"/>
  <c r="P418" i="1" s="1"/>
  <c r="K418" i="1"/>
  <c r="H418" i="1"/>
  <c r="I418" i="1" s="1"/>
  <c r="N417" i="1"/>
  <c r="O417" i="1" s="1"/>
  <c r="P417" i="1" s="1"/>
  <c r="K417" i="1"/>
  <c r="H417" i="1"/>
  <c r="I417" i="1" s="1"/>
  <c r="I416" i="1"/>
  <c r="I415" i="1"/>
  <c r="I414" i="1"/>
  <c r="N413" i="1"/>
  <c r="O413" i="1" s="1"/>
  <c r="P413" i="1" s="1"/>
  <c r="K413" i="1"/>
  <c r="I413" i="1"/>
  <c r="O412" i="1"/>
  <c r="P412" i="1" s="1"/>
  <c r="I412" i="1"/>
  <c r="O410" i="1"/>
  <c r="P410" i="1" s="1"/>
  <c r="I410" i="1"/>
  <c r="N409" i="1"/>
  <c r="O409" i="1" s="1"/>
  <c r="P409" i="1" s="1"/>
  <c r="K409" i="1"/>
  <c r="I409" i="1"/>
  <c r="N408" i="1"/>
  <c r="O408" i="1" s="1"/>
  <c r="P408" i="1" s="1"/>
  <c r="K408" i="1"/>
  <c r="H408" i="1"/>
  <c r="I408" i="1" s="1"/>
  <c r="N407" i="1"/>
  <c r="O407" i="1" s="1"/>
  <c r="P407" i="1" s="1"/>
  <c r="K407" i="1"/>
  <c r="H407" i="1"/>
  <c r="I407" i="1" s="1"/>
  <c r="N404" i="1"/>
  <c r="O404" i="1" s="1"/>
  <c r="P404" i="1" s="1"/>
  <c r="N403" i="1"/>
  <c r="O403" i="1" s="1"/>
  <c r="P403" i="1" s="1"/>
  <c r="I403" i="1"/>
  <c r="N402" i="1"/>
  <c r="O402" i="1" s="1"/>
  <c r="P402" i="1" s="1"/>
  <c r="H402" i="1"/>
  <c r="I402" i="1" s="1"/>
  <c r="N401" i="1"/>
  <c r="O401" i="1" s="1"/>
  <c r="P401" i="1" s="1"/>
  <c r="H401" i="1"/>
  <c r="I401" i="1" s="1"/>
  <c r="N400" i="1"/>
  <c r="O400" i="1" s="1"/>
  <c r="P400" i="1" s="1"/>
  <c r="H400" i="1"/>
  <c r="I400" i="1" s="1"/>
  <c r="N399" i="1"/>
  <c r="O399" i="1" s="1"/>
  <c r="P399" i="1" s="1"/>
  <c r="H399" i="1"/>
  <c r="I399" i="1" s="1"/>
  <c r="N398" i="1"/>
  <c r="O398" i="1" s="1"/>
  <c r="P398" i="1" s="1"/>
  <c r="H398" i="1"/>
  <c r="I398" i="1" s="1"/>
  <c r="N397" i="1"/>
  <c r="O397" i="1" s="1"/>
  <c r="P397" i="1" s="1"/>
  <c r="H397" i="1"/>
  <c r="I397" i="1" s="1"/>
  <c r="N396" i="1"/>
  <c r="O396" i="1" s="1"/>
  <c r="P396" i="1" s="1"/>
  <c r="H396" i="1"/>
  <c r="I396" i="1" s="1"/>
  <c r="N395" i="1"/>
  <c r="O395" i="1" s="1"/>
  <c r="P395" i="1" s="1"/>
  <c r="K395" i="1"/>
  <c r="H395" i="1"/>
  <c r="I395" i="1" s="1"/>
  <c r="N394" i="1"/>
  <c r="O394" i="1" s="1"/>
  <c r="P394" i="1" s="1"/>
  <c r="K394" i="1"/>
  <c r="H394" i="1"/>
  <c r="I394" i="1" s="1"/>
  <c r="N393" i="1"/>
  <c r="O393" i="1" s="1"/>
  <c r="P393" i="1" s="1"/>
  <c r="H393" i="1"/>
  <c r="I393" i="1" s="1"/>
  <c r="N392" i="1"/>
  <c r="O392" i="1" s="1"/>
  <c r="P392" i="1" s="1"/>
  <c r="K392" i="1"/>
  <c r="H392" i="1"/>
  <c r="I392" i="1" s="1"/>
  <c r="N391" i="1"/>
  <c r="O391" i="1" s="1"/>
  <c r="P391" i="1" s="1"/>
  <c r="K391" i="1"/>
  <c r="H391" i="1"/>
  <c r="I391" i="1" s="1"/>
  <c r="N390" i="1"/>
  <c r="O390" i="1" s="1"/>
  <c r="P390" i="1" s="1"/>
  <c r="H390" i="1"/>
  <c r="I390" i="1" s="1"/>
  <c r="N389" i="1"/>
  <c r="O389" i="1" s="1"/>
  <c r="P389" i="1" s="1"/>
  <c r="I389" i="1"/>
  <c r="N388" i="1"/>
  <c r="O388" i="1" s="1"/>
  <c r="P388" i="1" s="1"/>
  <c r="N387" i="1"/>
  <c r="O387" i="1" s="1"/>
  <c r="P387" i="1" s="1"/>
  <c r="N386" i="1"/>
  <c r="O386" i="1" s="1"/>
  <c r="P386" i="1" s="1"/>
  <c r="K386" i="1"/>
  <c r="H386" i="1"/>
  <c r="I386" i="1" s="1"/>
  <c r="N385" i="1"/>
  <c r="O385" i="1" s="1"/>
  <c r="P385" i="1" s="1"/>
  <c r="K385" i="1"/>
  <c r="H385" i="1"/>
  <c r="I385" i="1" s="1"/>
  <c r="I384" i="1"/>
  <c r="I383" i="1"/>
  <c r="I382" i="1"/>
  <c r="I381" i="1"/>
  <c r="I380" i="1"/>
  <c r="N379" i="1"/>
  <c r="O379" i="1" s="1"/>
  <c r="P379" i="1" s="1"/>
  <c r="K379" i="1"/>
  <c r="I379" i="1"/>
  <c r="H378" i="1"/>
  <c r="I378" i="1" s="1"/>
  <c r="N377" i="1"/>
  <c r="O377" i="1" s="1"/>
  <c r="P377" i="1" s="1"/>
  <c r="I377" i="1"/>
  <c r="N375" i="1"/>
  <c r="O375" i="1" s="1"/>
  <c r="N374" i="1"/>
  <c r="O374" i="1" s="1"/>
  <c r="P374" i="1" s="1"/>
  <c r="N373" i="1"/>
  <c r="O373" i="1" s="1"/>
  <c r="P373" i="1" s="1"/>
  <c r="I373" i="1"/>
  <c r="N372" i="1"/>
  <c r="O372" i="1" s="1"/>
  <c r="P372" i="1" s="1"/>
  <c r="N371" i="1"/>
  <c r="O371" i="1" s="1"/>
  <c r="P371" i="1" s="1"/>
  <c r="N370" i="1"/>
  <c r="O370" i="1" s="1"/>
  <c r="P370" i="1" s="1"/>
  <c r="K370" i="1"/>
  <c r="H370" i="1"/>
  <c r="I370" i="1" s="1"/>
  <c r="N369" i="1"/>
  <c r="O369" i="1" s="1"/>
  <c r="P369" i="1" s="1"/>
  <c r="K369" i="1"/>
  <c r="H369" i="1"/>
  <c r="I369" i="1" s="1"/>
  <c r="N367" i="1"/>
  <c r="O367" i="1" s="1"/>
  <c r="P367" i="1" s="1"/>
  <c r="K367" i="1"/>
  <c r="H367" i="1"/>
  <c r="I367" i="1" s="1"/>
  <c r="N366" i="1"/>
  <c r="N365" i="1"/>
  <c r="N364" i="1"/>
  <c r="O364" i="1" s="1"/>
  <c r="P364" i="1" s="1"/>
  <c r="K364" i="1"/>
  <c r="H364" i="1"/>
  <c r="I364" i="1" s="1"/>
  <c r="N363" i="1"/>
  <c r="O363" i="1" s="1"/>
  <c r="P363" i="1" s="1"/>
  <c r="K363" i="1"/>
  <c r="H363" i="1"/>
  <c r="I363" i="1" s="1"/>
  <c r="N362" i="1"/>
  <c r="O362" i="1" s="1"/>
  <c r="P362" i="1" s="1"/>
  <c r="N361" i="1"/>
  <c r="N360" i="1"/>
  <c r="O360" i="1" s="1"/>
  <c r="P360" i="1" s="1"/>
  <c r="N359" i="1"/>
  <c r="O359" i="1" s="1"/>
  <c r="P359" i="1" s="1"/>
  <c r="N358" i="1"/>
  <c r="O358" i="1" s="1"/>
  <c r="P358" i="1" s="1"/>
  <c r="N357" i="1"/>
  <c r="O357" i="1" s="1"/>
  <c r="P357" i="1" s="1"/>
  <c r="N356" i="1"/>
  <c r="O356" i="1" s="1"/>
  <c r="P356" i="1" s="1"/>
  <c r="N355" i="1"/>
  <c r="N354" i="1"/>
  <c r="N353" i="1"/>
  <c r="N352" i="1"/>
  <c r="O352" i="1" s="1"/>
  <c r="P352" i="1" s="1"/>
  <c r="K352" i="1"/>
  <c r="H352" i="1"/>
  <c r="I352" i="1" s="1"/>
  <c r="N351" i="1"/>
  <c r="O351" i="1" s="1"/>
  <c r="P351" i="1" s="1"/>
  <c r="K351" i="1"/>
  <c r="H351" i="1"/>
  <c r="I351" i="1" s="1"/>
  <c r="N350" i="1"/>
  <c r="O350" i="1" s="1"/>
  <c r="P350" i="1" s="1"/>
  <c r="K350" i="1"/>
  <c r="H350" i="1"/>
  <c r="I350" i="1" s="1"/>
  <c r="N349" i="1"/>
  <c r="O349" i="1" s="1"/>
  <c r="P349" i="1" s="1"/>
  <c r="K349" i="1"/>
  <c r="H349" i="1"/>
  <c r="I349" i="1" s="1"/>
  <c r="N348" i="1"/>
  <c r="O348" i="1" s="1"/>
  <c r="P348" i="1" s="1"/>
  <c r="K348" i="1"/>
  <c r="H348" i="1"/>
  <c r="I348" i="1" s="1"/>
  <c r="N347" i="1"/>
  <c r="O347" i="1" s="1"/>
  <c r="P347" i="1" s="1"/>
  <c r="K347" i="1"/>
  <c r="H347" i="1"/>
  <c r="I347" i="1" s="1"/>
  <c r="N346" i="1"/>
  <c r="O346" i="1" s="1"/>
  <c r="P346" i="1" s="1"/>
  <c r="K346" i="1"/>
  <c r="H346" i="1"/>
  <c r="I346" i="1" s="1"/>
  <c r="N345" i="1"/>
  <c r="O345" i="1" s="1"/>
  <c r="P345" i="1" s="1"/>
  <c r="K345" i="1"/>
  <c r="H345" i="1"/>
  <c r="I345" i="1" s="1"/>
  <c r="N344" i="1"/>
  <c r="O344" i="1" s="1"/>
  <c r="P344" i="1" s="1"/>
  <c r="K344" i="1"/>
  <c r="H344" i="1"/>
  <c r="I344" i="1" s="1"/>
  <c r="N343" i="1"/>
  <c r="N342" i="1"/>
  <c r="O342" i="1" s="1"/>
  <c r="P342" i="1" s="1"/>
  <c r="K342" i="1"/>
  <c r="H342" i="1"/>
  <c r="I342" i="1" s="1"/>
  <c r="N341" i="1"/>
  <c r="O341" i="1" s="1"/>
  <c r="P341" i="1" s="1"/>
  <c r="K341" i="1"/>
  <c r="H341" i="1"/>
  <c r="I341" i="1" s="1"/>
  <c r="N340" i="1"/>
  <c r="N339" i="1"/>
  <c r="O339" i="1" s="1"/>
  <c r="P339" i="1" s="1"/>
  <c r="K339" i="1"/>
  <c r="H339" i="1"/>
  <c r="I339" i="1" s="1"/>
  <c r="N338" i="1"/>
  <c r="O338" i="1" s="1"/>
  <c r="P338" i="1" s="1"/>
  <c r="K338" i="1"/>
  <c r="H338" i="1"/>
  <c r="I338" i="1" s="1"/>
  <c r="N337" i="1"/>
  <c r="O337" i="1" s="1"/>
  <c r="P337" i="1" s="1"/>
  <c r="H337" i="1"/>
  <c r="I337" i="1" s="1"/>
  <c r="N336" i="1"/>
  <c r="O336" i="1" s="1"/>
  <c r="P336" i="1" s="1"/>
  <c r="K336" i="1"/>
  <c r="H336" i="1"/>
  <c r="I336" i="1" s="1"/>
  <c r="N335" i="1"/>
  <c r="O335" i="1" s="1"/>
  <c r="P335" i="1" s="1"/>
  <c r="K335" i="1"/>
  <c r="H335" i="1"/>
  <c r="I335" i="1" s="1"/>
  <c r="N334" i="1"/>
  <c r="O334" i="1" s="1"/>
  <c r="P334" i="1" s="1"/>
  <c r="N333" i="1"/>
  <c r="N332" i="1"/>
  <c r="N331" i="1"/>
  <c r="O331" i="1" s="1"/>
  <c r="P331" i="1" s="1"/>
  <c r="N330" i="1"/>
  <c r="N329" i="1"/>
  <c r="O329" i="1" s="1"/>
  <c r="P329" i="1" s="1"/>
  <c r="N328" i="1"/>
  <c r="N327" i="1"/>
  <c r="N326" i="1"/>
  <c r="O326" i="1" s="1"/>
  <c r="P326" i="1" s="1"/>
  <c r="K326" i="1"/>
  <c r="H326" i="1"/>
  <c r="I326" i="1" s="1"/>
  <c r="N325" i="1"/>
  <c r="O325" i="1" s="1"/>
  <c r="P325" i="1" s="1"/>
  <c r="K325" i="1"/>
  <c r="H325" i="1"/>
  <c r="I325" i="1" s="1"/>
  <c r="N324" i="1"/>
  <c r="O324" i="1" s="1"/>
  <c r="P324" i="1" s="1"/>
  <c r="N323" i="1"/>
  <c r="N322" i="1"/>
  <c r="O322" i="1" s="1"/>
  <c r="P322" i="1" s="1"/>
  <c r="N321" i="1"/>
  <c r="N320" i="1"/>
  <c r="O320" i="1" s="1"/>
  <c r="P320" i="1" s="1"/>
  <c r="N319" i="1"/>
  <c r="O319" i="1" s="1"/>
  <c r="P319" i="1" s="1"/>
  <c r="N318" i="1"/>
  <c r="N317" i="1"/>
  <c r="O317" i="1" s="1"/>
  <c r="P317" i="1" s="1"/>
  <c r="N316" i="1"/>
  <c r="O316" i="1" s="1"/>
  <c r="P316" i="1" s="1"/>
  <c r="N315" i="1"/>
  <c r="O315" i="1" s="1"/>
  <c r="P315" i="1" s="1"/>
  <c r="N314" i="1"/>
  <c r="O314" i="1" s="1"/>
  <c r="P314" i="1" s="1"/>
  <c r="K314" i="1"/>
  <c r="H314" i="1"/>
  <c r="I314" i="1" s="1"/>
  <c r="N313" i="1"/>
  <c r="O313" i="1" s="1"/>
  <c r="P313" i="1" s="1"/>
  <c r="K313" i="1"/>
  <c r="H313" i="1"/>
  <c r="I313" i="1" s="1"/>
  <c r="N312" i="1"/>
  <c r="O312" i="1" s="1"/>
  <c r="P312" i="1" s="1"/>
  <c r="K312" i="1"/>
  <c r="H312" i="1"/>
  <c r="I312" i="1" s="1"/>
  <c r="N311" i="1"/>
  <c r="O311" i="1" s="1"/>
  <c r="P311" i="1" s="1"/>
  <c r="K311" i="1"/>
  <c r="H311" i="1"/>
  <c r="I311" i="1" s="1"/>
  <c r="N309" i="1"/>
  <c r="O309" i="1" s="1"/>
  <c r="P309" i="1" s="1"/>
  <c r="K309" i="1"/>
  <c r="H309" i="1"/>
  <c r="I309" i="1" s="1"/>
  <c r="N308" i="1"/>
  <c r="O308" i="1" s="1"/>
  <c r="P308" i="1" s="1"/>
  <c r="N307" i="1"/>
  <c r="O307" i="1" s="1"/>
  <c r="P307" i="1" s="1"/>
  <c r="K307" i="1"/>
  <c r="H307" i="1"/>
  <c r="I307" i="1" s="1"/>
  <c r="N306" i="1"/>
  <c r="O306" i="1" s="1"/>
  <c r="P306" i="1" s="1"/>
  <c r="K306" i="1"/>
  <c r="H306" i="1"/>
  <c r="I306" i="1" s="1"/>
  <c r="N305" i="1"/>
  <c r="O305" i="1" s="1"/>
  <c r="P305" i="1" s="1"/>
  <c r="N304" i="1"/>
  <c r="O304" i="1" s="1"/>
  <c r="P304" i="1" s="1"/>
  <c r="N303" i="1"/>
  <c r="O303" i="1" s="1"/>
  <c r="P303" i="1" s="1"/>
  <c r="N302" i="1"/>
  <c r="O302" i="1" s="1"/>
  <c r="P302" i="1" s="1"/>
  <c r="N301" i="1"/>
  <c r="O301" i="1" s="1"/>
  <c r="P301" i="1" s="1"/>
  <c r="N300" i="1"/>
  <c r="O300" i="1" s="1"/>
  <c r="P300" i="1" s="1"/>
  <c r="K300" i="1"/>
  <c r="H300" i="1"/>
  <c r="I300" i="1" s="1"/>
  <c r="N299" i="1"/>
  <c r="O299" i="1" s="1"/>
  <c r="P299" i="1" s="1"/>
  <c r="K299" i="1"/>
  <c r="H299" i="1"/>
  <c r="I299" i="1" s="1"/>
  <c r="N298" i="1"/>
  <c r="O298" i="1" s="1"/>
  <c r="P298" i="1" s="1"/>
  <c r="N297" i="1"/>
  <c r="O297" i="1" s="1"/>
  <c r="P297" i="1" s="1"/>
  <c r="K297" i="1"/>
  <c r="H297" i="1"/>
  <c r="I297" i="1" s="1"/>
  <c r="N296" i="1"/>
  <c r="O296" i="1" s="1"/>
  <c r="P296" i="1" s="1"/>
  <c r="K296" i="1"/>
  <c r="H296" i="1"/>
  <c r="I296" i="1" s="1"/>
  <c r="N295" i="1"/>
  <c r="O295" i="1" s="1"/>
  <c r="P295" i="1" s="1"/>
  <c r="N294" i="1"/>
  <c r="O294" i="1" s="1"/>
  <c r="P294" i="1" s="1"/>
  <c r="K294" i="1"/>
  <c r="H294" i="1"/>
  <c r="I294" i="1" s="1"/>
  <c r="N293" i="1"/>
  <c r="O293" i="1" s="1"/>
  <c r="P293" i="1" s="1"/>
  <c r="K293" i="1"/>
  <c r="H293" i="1"/>
  <c r="I293" i="1" s="1"/>
  <c r="N292" i="1"/>
  <c r="O292" i="1" s="1"/>
  <c r="P292" i="1" s="1"/>
  <c r="N291" i="1"/>
  <c r="O291" i="1" s="1"/>
  <c r="P291" i="1" s="1"/>
  <c r="K291" i="1"/>
  <c r="H291" i="1"/>
  <c r="I291" i="1" s="1"/>
  <c r="N290" i="1"/>
  <c r="O290" i="1" s="1"/>
  <c r="P290" i="1" s="1"/>
  <c r="K290" i="1"/>
  <c r="H290" i="1"/>
  <c r="I290" i="1" s="1"/>
  <c r="N289" i="1"/>
  <c r="O289" i="1" s="1"/>
  <c r="P289" i="1" s="1"/>
  <c r="N288" i="1"/>
  <c r="O288" i="1" s="1"/>
  <c r="P288" i="1" s="1"/>
  <c r="N287" i="1"/>
  <c r="O287" i="1" s="1"/>
  <c r="P287" i="1" s="1"/>
  <c r="N286" i="1"/>
  <c r="O286" i="1" s="1"/>
  <c r="P286" i="1" s="1"/>
  <c r="K286" i="1"/>
  <c r="H286" i="1"/>
  <c r="I286" i="1" s="1"/>
  <c r="N285" i="1"/>
  <c r="O285" i="1" s="1"/>
  <c r="P285" i="1" s="1"/>
  <c r="K285" i="1"/>
  <c r="H285" i="1"/>
  <c r="I285" i="1" s="1"/>
  <c r="N284" i="1"/>
  <c r="O284" i="1" s="1"/>
  <c r="P284" i="1" s="1"/>
  <c r="N283" i="1"/>
  <c r="O283" i="1" s="1"/>
  <c r="P283" i="1" s="1"/>
  <c r="N282" i="1"/>
  <c r="O282" i="1" s="1"/>
  <c r="P282" i="1" s="1"/>
  <c r="K282" i="1"/>
  <c r="H282" i="1"/>
  <c r="I282" i="1" s="1"/>
  <c r="N281" i="1"/>
  <c r="O281" i="1" s="1"/>
  <c r="P281" i="1" s="1"/>
  <c r="K281" i="1"/>
  <c r="H281" i="1"/>
  <c r="I281" i="1" s="1"/>
  <c r="N280" i="1"/>
  <c r="O280" i="1" s="1"/>
  <c r="N279" i="1"/>
  <c r="O279" i="1" s="1"/>
  <c r="N278" i="1"/>
  <c r="O278" i="1" s="1"/>
  <c r="P278" i="1" s="1"/>
  <c r="K278" i="1"/>
  <c r="H278" i="1"/>
  <c r="I278" i="1" s="1"/>
  <c r="N277" i="1"/>
  <c r="O277" i="1" s="1"/>
  <c r="P277" i="1" s="1"/>
  <c r="K277" i="1"/>
  <c r="H277" i="1"/>
  <c r="I277" i="1" s="1"/>
  <c r="N276" i="1"/>
  <c r="O276" i="1" s="1"/>
  <c r="P276" i="1" s="1"/>
  <c r="N275" i="1"/>
  <c r="O275" i="1" s="1"/>
  <c r="P275" i="1" s="1"/>
  <c r="K275" i="1"/>
  <c r="H275" i="1"/>
  <c r="I275" i="1" s="1"/>
  <c r="N274" i="1"/>
  <c r="O274" i="1" s="1"/>
  <c r="P274" i="1" s="1"/>
  <c r="K274" i="1"/>
  <c r="H274" i="1"/>
  <c r="I274" i="1" s="1"/>
  <c r="N273" i="1"/>
  <c r="O273" i="1" s="1"/>
  <c r="N272" i="1"/>
  <c r="O272" i="1" s="1"/>
  <c r="P272" i="1" s="1"/>
  <c r="N271" i="1"/>
  <c r="O271" i="1" s="1"/>
  <c r="N270" i="1"/>
  <c r="O270" i="1" s="1"/>
  <c r="P270" i="1" s="1"/>
  <c r="K270" i="1"/>
  <c r="H270" i="1"/>
  <c r="I270" i="1" s="1"/>
  <c r="N269" i="1"/>
  <c r="O269" i="1" s="1"/>
  <c r="P269" i="1" s="1"/>
  <c r="K269" i="1"/>
  <c r="H269" i="1"/>
  <c r="I269" i="1" s="1"/>
  <c r="N268" i="1"/>
  <c r="O268" i="1" s="1"/>
  <c r="P268" i="1" s="1"/>
  <c r="N267" i="1"/>
  <c r="O267" i="1" s="1"/>
  <c r="P267" i="1" s="1"/>
  <c r="N266" i="1"/>
  <c r="O266" i="1" s="1"/>
  <c r="P266" i="1" s="1"/>
  <c r="K266" i="1"/>
  <c r="H266" i="1"/>
  <c r="I266" i="1" s="1"/>
  <c r="N265" i="1"/>
  <c r="O265" i="1" s="1"/>
  <c r="P265" i="1" s="1"/>
  <c r="K265" i="1"/>
  <c r="H265" i="1"/>
  <c r="I265" i="1" s="1"/>
  <c r="N264" i="1"/>
  <c r="O264" i="1" s="1"/>
  <c r="P264" i="1" s="1"/>
  <c r="N263" i="1"/>
  <c r="O263" i="1" s="1"/>
  <c r="P263" i="1" s="1"/>
  <c r="K263" i="1"/>
  <c r="H263" i="1"/>
  <c r="I263" i="1" s="1"/>
  <c r="N262" i="1"/>
  <c r="O262" i="1" s="1"/>
  <c r="P262" i="1" s="1"/>
  <c r="K262" i="1"/>
  <c r="H262" i="1"/>
  <c r="I262" i="1" s="1"/>
  <c r="N260" i="1"/>
  <c r="O260" i="1" s="1"/>
  <c r="N259" i="1"/>
  <c r="O259" i="1" s="1"/>
  <c r="P259" i="1" s="1"/>
  <c r="N258" i="1"/>
  <c r="O258" i="1" s="1"/>
  <c r="P258" i="1" s="1"/>
  <c r="N257" i="1"/>
  <c r="O257" i="1" s="1"/>
  <c r="P257" i="1" s="1"/>
  <c r="N256" i="1"/>
  <c r="O256" i="1" s="1"/>
  <c r="P256" i="1" s="1"/>
  <c r="N255" i="1"/>
  <c r="O255" i="1" s="1"/>
  <c r="P255" i="1" s="1"/>
  <c r="K255" i="1"/>
  <c r="H255" i="1"/>
  <c r="I255" i="1" s="1"/>
  <c r="N254" i="1"/>
  <c r="O254" i="1" s="1"/>
  <c r="P254" i="1" s="1"/>
  <c r="K254" i="1"/>
  <c r="H254" i="1"/>
  <c r="I254" i="1" s="1"/>
  <c r="N253" i="1"/>
  <c r="O253" i="1" s="1"/>
  <c r="N252" i="1"/>
  <c r="O252" i="1" s="1"/>
  <c r="N251" i="1"/>
  <c r="O251" i="1" s="1"/>
  <c r="P251" i="1" s="1"/>
  <c r="K251" i="1"/>
  <c r="H251" i="1"/>
  <c r="I251" i="1" s="1"/>
  <c r="N250" i="1"/>
  <c r="O250" i="1" s="1"/>
  <c r="P250" i="1" s="1"/>
  <c r="K250" i="1"/>
  <c r="H250" i="1"/>
  <c r="I250" i="1" s="1"/>
  <c r="N249" i="1"/>
  <c r="O249" i="1" s="1"/>
  <c r="N248" i="1"/>
  <c r="O248" i="1" s="1"/>
  <c r="N247" i="1"/>
  <c r="O247" i="1" s="1"/>
  <c r="N246" i="1"/>
  <c r="O246" i="1" s="1"/>
  <c r="P246" i="1" s="1"/>
  <c r="K246" i="1"/>
  <c r="H246" i="1"/>
  <c r="I246" i="1" s="1"/>
  <c r="N245" i="1"/>
  <c r="O245" i="1" s="1"/>
  <c r="P245" i="1" s="1"/>
  <c r="K245" i="1"/>
  <c r="H245" i="1"/>
  <c r="I245" i="1" s="1"/>
  <c r="N244" i="1"/>
  <c r="O244" i="1" s="1"/>
  <c r="P244" i="1" s="1"/>
  <c r="N243" i="1"/>
  <c r="O243" i="1" s="1"/>
  <c r="P243" i="1" s="1"/>
  <c r="K243" i="1"/>
  <c r="H243" i="1"/>
  <c r="I243" i="1" s="1"/>
  <c r="N242" i="1"/>
  <c r="O242" i="1" s="1"/>
  <c r="P242" i="1" s="1"/>
  <c r="K242" i="1"/>
  <c r="H242" i="1"/>
  <c r="I242" i="1" s="1"/>
  <c r="N240" i="1"/>
  <c r="O240" i="1" s="1"/>
  <c r="P240" i="1" s="1"/>
  <c r="K240" i="1"/>
  <c r="H240" i="1"/>
  <c r="I240" i="1" s="1"/>
  <c r="N239" i="1"/>
  <c r="O239" i="1" s="1"/>
  <c r="N238" i="1"/>
  <c r="O238" i="1" s="1"/>
  <c r="N237" i="1"/>
  <c r="O237" i="1" s="1"/>
  <c r="P237" i="1" s="1"/>
  <c r="K237" i="1"/>
  <c r="H237" i="1"/>
  <c r="I237" i="1" s="1"/>
  <c r="N236" i="1"/>
  <c r="O236" i="1" s="1"/>
  <c r="P236" i="1" s="1"/>
  <c r="K236" i="1"/>
  <c r="H236" i="1"/>
  <c r="I236" i="1" s="1"/>
  <c r="Q236" i="1" s="1"/>
  <c r="N235" i="1"/>
  <c r="O235" i="1" s="1"/>
  <c r="N234" i="1"/>
  <c r="O234" i="1" s="1"/>
  <c r="P234" i="1" s="1"/>
  <c r="K234" i="1"/>
  <c r="H234" i="1"/>
  <c r="I234" i="1" s="1"/>
  <c r="N233" i="1"/>
  <c r="O233" i="1" s="1"/>
  <c r="P233" i="1" s="1"/>
  <c r="K233" i="1"/>
  <c r="H233" i="1"/>
  <c r="I233" i="1" s="1"/>
  <c r="N232" i="1"/>
  <c r="O232" i="1" s="1"/>
  <c r="P232" i="1" s="1"/>
  <c r="K232" i="1"/>
  <c r="I232" i="1"/>
  <c r="N231" i="1"/>
  <c r="O231" i="1" s="1"/>
  <c r="P231" i="1" s="1"/>
  <c r="K231" i="1"/>
  <c r="H231" i="1"/>
  <c r="I231" i="1" s="1"/>
  <c r="N230" i="1"/>
  <c r="O230" i="1" s="1"/>
  <c r="P230" i="1" s="1"/>
  <c r="K230" i="1"/>
  <c r="H230" i="1"/>
  <c r="I230" i="1" s="1"/>
  <c r="N229" i="1"/>
  <c r="O229" i="1" s="1"/>
  <c r="H229" i="1"/>
  <c r="N227" i="1"/>
  <c r="O227" i="1" s="1"/>
  <c r="N226" i="1"/>
  <c r="O226" i="1" s="1"/>
  <c r="N225" i="1"/>
  <c r="O225" i="1" s="1"/>
  <c r="N224" i="1"/>
  <c r="O224" i="1" s="1"/>
  <c r="P224" i="1" s="1"/>
  <c r="K224" i="1"/>
  <c r="H224" i="1"/>
  <c r="I224" i="1" s="1"/>
  <c r="N223" i="1"/>
  <c r="O223" i="1" s="1"/>
  <c r="P223" i="1" s="1"/>
  <c r="K223" i="1"/>
  <c r="H223" i="1"/>
  <c r="I223" i="1" s="1"/>
  <c r="I219" i="1"/>
  <c r="N218" i="1"/>
  <c r="N217" i="1"/>
  <c r="O217" i="1" s="1"/>
  <c r="P217" i="1" s="1"/>
  <c r="K217" i="1"/>
  <c r="H217" i="1"/>
  <c r="I217" i="1" s="1"/>
  <c r="N216" i="1"/>
  <c r="O216" i="1" s="1"/>
  <c r="P216" i="1" s="1"/>
  <c r="K216" i="1"/>
  <c r="H216" i="1"/>
  <c r="I216" i="1" s="1"/>
  <c r="N215" i="1"/>
  <c r="O215" i="1" s="1"/>
  <c r="H215" i="1"/>
  <c r="N214" i="1"/>
  <c r="O214" i="1" s="1"/>
  <c r="P214" i="1" s="1"/>
  <c r="K214" i="1"/>
  <c r="H214" i="1"/>
  <c r="I214" i="1" s="1"/>
  <c r="N213" i="1"/>
  <c r="O213" i="1" s="1"/>
  <c r="P213" i="1" s="1"/>
  <c r="K213" i="1"/>
  <c r="H213" i="1"/>
  <c r="I213" i="1" s="1"/>
  <c r="N212" i="1"/>
  <c r="O212" i="1" s="1"/>
  <c r="N211" i="1"/>
  <c r="O211" i="1" s="1"/>
  <c r="N210" i="1"/>
  <c r="O210" i="1" s="1"/>
  <c r="N209" i="1"/>
  <c r="O209" i="1" s="1"/>
  <c r="P209" i="1" s="1"/>
  <c r="K209" i="1"/>
  <c r="H209" i="1"/>
  <c r="I209" i="1" s="1"/>
  <c r="N208" i="1"/>
  <c r="O208" i="1" s="1"/>
  <c r="P208" i="1" s="1"/>
  <c r="K208" i="1"/>
  <c r="H208" i="1"/>
  <c r="I208" i="1" s="1"/>
  <c r="N207" i="1"/>
  <c r="O207" i="1" s="1"/>
  <c r="N206" i="1"/>
  <c r="O206" i="1" s="1"/>
  <c r="P206" i="1" s="1"/>
  <c r="K206" i="1"/>
  <c r="H206" i="1"/>
  <c r="I206" i="1" s="1"/>
  <c r="N205" i="1"/>
  <c r="O205" i="1" s="1"/>
  <c r="P205" i="1" s="1"/>
  <c r="K205" i="1"/>
  <c r="H205" i="1"/>
  <c r="I205" i="1" s="1"/>
  <c r="N204" i="1"/>
  <c r="O204" i="1" s="1"/>
  <c r="P204" i="1" s="1"/>
  <c r="N203" i="1"/>
  <c r="O203" i="1" s="1"/>
  <c r="N202" i="1"/>
  <c r="O202" i="1" s="1"/>
  <c r="N201" i="1"/>
  <c r="O201" i="1" s="1"/>
  <c r="N200" i="1"/>
  <c r="O200" i="1" s="1"/>
  <c r="N199" i="1"/>
  <c r="O199" i="1" s="1"/>
  <c r="P199" i="1" s="1"/>
  <c r="K199" i="1"/>
  <c r="H199" i="1"/>
  <c r="I199" i="1" s="1"/>
  <c r="N198" i="1"/>
  <c r="O198" i="1" s="1"/>
  <c r="P198" i="1" s="1"/>
  <c r="K198" i="1"/>
  <c r="H198" i="1"/>
  <c r="I198" i="1" s="1"/>
  <c r="N197" i="1"/>
  <c r="O197" i="1" s="1"/>
  <c r="N196" i="1"/>
  <c r="O196" i="1" s="1"/>
  <c r="P196" i="1" s="1"/>
  <c r="K196" i="1"/>
  <c r="H196" i="1"/>
  <c r="I196" i="1" s="1"/>
  <c r="N195" i="1"/>
  <c r="O195" i="1" s="1"/>
  <c r="P195" i="1" s="1"/>
  <c r="K195" i="1"/>
  <c r="H195" i="1"/>
  <c r="I195" i="1" s="1"/>
  <c r="N194" i="1"/>
  <c r="O194" i="1" s="1"/>
  <c r="P194" i="1" s="1"/>
  <c r="K194" i="1"/>
  <c r="I194" i="1"/>
  <c r="N193" i="1"/>
  <c r="O193" i="1" s="1"/>
  <c r="N192" i="1"/>
  <c r="O192" i="1" s="1"/>
  <c r="N191" i="1"/>
  <c r="O191" i="1" s="1"/>
  <c r="P191" i="1" s="1"/>
  <c r="K191" i="1"/>
  <c r="H191" i="1"/>
  <c r="I191" i="1" s="1"/>
  <c r="N190" i="1"/>
  <c r="O190" i="1" s="1"/>
  <c r="P190" i="1" s="1"/>
  <c r="K190" i="1"/>
  <c r="H190" i="1"/>
  <c r="I190" i="1" s="1"/>
  <c r="I189" i="1"/>
  <c r="I188" i="1"/>
  <c r="P182" i="1"/>
  <c r="N182" i="1"/>
  <c r="O182" i="1" s="1"/>
  <c r="K182" i="1"/>
  <c r="H182" i="1"/>
  <c r="I182" i="1" s="1"/>
  <c r="N181" i="1"/>
  <c r="O181" i="1" s="1"/>
  <c r="P181" i="1" s="1"/>
  <c r="K181" i="1"/>
  <c r="H181" i="1"/>
  <c r="I181" i="1" s="1"/>
  <c r="N180" i="1"/>
  <c r="O180" i="1" s="1"/>
  <c r="P180" i="1" s="1"/>
  <c r="K180" i="1"/>
  <c r="H180" i="1"/>
  <c r="I180" i="1" s="1"/>
  <c r="N179" i="1"/>
  <c r="O179" i="1" s="1"/>
  <c r="P179" i="1" s="1"/>
  <c r="K179" i="1"/>
  <c r="H179" i="1"/>
  <c r="I179" i="1" s="1"/>
  <c r="Q179" i="1" s="1"/>
  <c r="N178" i="1"/>
  <c r="O178" i="1" s="1"/>
  <c r="N177" i="1"/>
  <c r="O177" i="1" s="1"/>
  <c r="N176" i="1"/>
  <c r="O176" i="1" s="1"/>
  <c r="P176" i="1" s="1"/>
  <c r="K176" i="1"/>
  <c r="H176" i="1"/>
  <c r="I176" i="1" s="1"/>
  <c r="N175" i="1"/>
  <c r="O175" i="1" s="1"/>
  <c r="P175" i="1" s="1"/>
  <c r="K175" i="1"/>
  <c r="H175" i="1"/>
  <c r="I175" i="1" s="1"/>
  <c r="N174" i="1"/>
  <c r="O174" i="1" s="1"/>
  <c r="N173" i="1"/>
  <c r="O173" i="1" s="1"/>
  <c r="N172" i="1"/>
  <c r="O172" i="1" s="1"/>
  <c r="P172" i="1" s="1"/>
  <c r="N171" i="1"/>
  <c r="O171" i="1" s="1"/>
  <c r="N170" i="1"/>
  <c r="O170" i="1" s="1"/>
  <c r="N169" i="1"/>
  <c r="O169" i="1" s="1"/>
  <c r="P169" i="1" s="1"/>
  <c r="K169" i="1"/>
  <c r="H169" i="1"/>
  <c r="I169" i="1" s="1"/>
  <c r="N168" i="1"/>
  <c r="O168" i="1" s="1"/>
  <c r="P168" i="1" s="1"/>
  <c r="K168" i="1"/>
  <c r="H168" i="1"/>
  <c r="I168" i="1" s="1"/>
  <c r="N167" i="1"/>
  <c r="O167" i="1" s="1"/>
  <c r="N166" i="1"/>
  <c r="O166" i="1" s="1"/>
  <c r="P166" i="1" s="1"/>
  <c r="N165" i="1"/>
  <c r="O165" i="1" s="1"/>
  <c r="P165" i="1" s="1"/>
  <c r="N164" i="1"/>
  <c r="O164" i="1" s="1"/>
  <c r="P164" i="1" s="1"/>
  <c r="N163" i="1"/>
  <c r="O163" i="1" s="1"/>
  <c r="P163" i="1" s="1"/>
  <c r="K163" i="1"/>
  <c r="H163" i="1"/>
  <c r="I163" i="1" s="1"/>
  <c r="N162" i="1"/>
  <c r="O162" i="1" s="1"/>
  <c r="P162" i="1" s="1"/>
  <c r="K162" i="1"/>
  <c r="H162" i="1"/>
  <c r="I162" i="1" s="1"/>
  <c r="N161" i="1"/>
  <c r="O161" i="1" s="1"/>
  <c r="P161" i="1" s="1"/>
  <c r="N160" i="1"/>
  <c r="O160" i="1" s="1"/>
  <c r="P160" i="1" s="1"/>
  <c r="K160" i="1"/>
  <c r="H160" i="1"/>
  <c r="I160" i="1" s="1"/>
  <c r="N159" i="1"/>
  <c r="O159" i="1" s="1"/>
  <c r="P159" i="1" s="1"/>
  <c r="K159" i="1"/>
  <c r="H159" i="1"/>
  <c r="I159" i="1" s="1"/>
  <c r="N158" i="1"/>
  <c r="O158" i="1" s="1"/>
  <c r="N157" i="1"/>
  <c r="N156" i="1"/>
  <c r="O156" i="1" s="1"/>
  <c r="N155" i="1"/>
  <c r="O155" i="1" s="1"/>
  <c r="P155" i="1" s="1"/>
  <c r="K155" i="1"/>
  <c r="H155" i="1"/>
  <c r="I155" i="1" s="1"/>
  <c r="N154" i="1"/>
  <c r="O154" i="1" s="1"/>
  <c r="P154" i="1" s="1"/>
  <c r="K154" i="1"/>
  <c r="H154" i="1"/>
  <c r="I154" i="1" s="1"/>
  <c r="N153" i="1"/>
  <c r="O153" i="1" s="1"/>
  <c r="P153" i="1" s="1"/>
  <c r="K153" i="1"/>
  <c r="H153" i="1"/>
  <c r="I153" i="1" s="1"/>
  <c r="N152" i="1"/>
  <c r="O152" i="1" s="1"/>
  <c r="P152" i="1" s="1"/>
  <c r="K152" i="1"/>
  <c r="H152" i="1"/>
  <c r="I152" i="1" s="1"/>
  <c r="N151" i="1"/>
  <c r="N150" i="1"/>
  <c r="O150" i="1" s="1"/>
  <c r="P150" i="1" s="1"/>
  <c r="N149" i="1"/>
  <c r="O149" i="1" s="1"/>
  <c r="P149" i="1" s="1"/>
  <c r="N148" i="1"/>
  <c r="O148" i="1" s="1"/>
  <c r="P148" i="1" s="1"/>
  <c r="N147" i="1"/>
  <c r="O147" i="1" s="1"/>
  <c r="P147" i="1" s="1"/>
  <c r="N146" i="1"/>
  <c r="O146" i="1" s="1"/>
  <c r="P146" i="1" s="1"/>
  <c r="N145" i="1"/>
  <c r="O145" i="1" s="1"/>
  <c r="P145" i="1" s="1"/>
  <c r="N144" i="1"/>
  <c r="N143" i="1"/>
  <c r="N142" i="1"/>
  <c r="N141" i="1"/>
  <c r="O141" i="1" s="1"/>
  <c r="P141" i="1" s="1"/>
  <c r="N140" i="1"/>
  <c r="N139" i="1"/>
  <c r="O139" i="1" s="1"/>
  <c r="P139" i="1" s="1"/>
  <c r="N138" i="1"/>
  <c r="N137" i="1"/>
  <c r="O137" i="1" s="1"/>
  <c r="P137" i="1" s="1"/>
  <c r="K137" i="1"/>
  <c r="H137" i="1"/>
  <c r="I137" i="1" s="1"/>
  <c r="N136" i="1"/>
  <c r="O136" i="1" s="1"/>
  <c r="P136" i="1" s="1"/>
  <c r="K136" i="1"/>
  <c r="H136" i="1"/>
  <c r="I136" i="1" s="1"/>
  <c r="N135" i="1"/>
  <c r="O135" i="1" s="1"/>
  <c r="N134" i="1"/>
  <c r="O134" i="1" s="1"/>
  <c r="N133" i="1"/>
  <c r="O133" i="1" s="1"/>
  <c r="P133" i="1" s="1"/>
  <c r="K133" i="1"/>
  <c r="H133" i="1"/>
  <c r="I133" i="1" s="1"/>
  <c r="N132" i="1"/>
  <c r="O132" i="1" s="1"/>
  <c r="P132" i="1" s="1"/>
  <c r="K132" i="1"/>
  <c r="H132" i="1"/>
  <c r="I132" i="1" s="1"/>
  <c r="N131" i="1"/>
  <c r="N130" i="1"/>
  <c r="O130" i="1" s="1"/>
  <c r="N129" i="1"/>
  <c r="O129" i="1" s="1"/>
  <c r="N128" i="1"/>
  <c r="O128" i="1" s="1"/>
  <c r="N127" i="1"/>
  <c r="O127" i="1" s="1"/>
  <c r="N126" i="1"/>
  <c r="N125" i="1"/>
  <c r="O125" i="1" s="1"/>
  <c r="N124" i="1"/>
  <c r="O124" i="1" s="1"/>
  <c r="N123" i="1"/>
  <c r="O123" i="1" s="1"/>
  <c r="P123" i="1" s="1"/>
  <c r="N122" i="1"/>
  <c r="N121" i="1"/>
  <c r="O121" i="1" s="1"/>
  <c r="P121" i="1" s="1"/>
  <c r="K121" i="1"/>
  <c r="H121" i="1"/>
  <c r="I121" i="1" s="1"/>
  <c r="N120" i="1"/>
  <c r="O120" i="1" s="1"/>
  <c r="P120" i="1" s="1"/>
  <c r="K120" i="1"/>
  <c r="H120" i="1"/>
  <c r="I120" i="1" s="1"/>
  <c r="N119" i="1"/>
  <c r="O119" i="1" s="1"/>
  <c r="N117" i="1"/>
  <c r="O117" i="1" s="1"/>
  <c r="N116" i="1"/>
  <c r="O116" i="1" s="1"/>
  <c r="P116" i="1" s="1"/>
  <c r="K116" i="1"/>
  <c r="H116" i="1"/>
  <c r="I116" i="1" s="1"/>
  <c r="N115" i="1"/>
  <c r="O115" i="1" s="1"/>
  <c r="P115" i="1" s="1"/>
  <c r="K115" i="1"/>
  <c r="H115" i="1"/>
  <c r="I115" i="1" s="1"/>
  <c r="N113" i="1"/>
  <c r="O113" i="1" s="1"/>
  <c r="P113" i="1" s="1"/>
  <c r="K113" i="1"/>
  <c r="H113" i="1"/>
  <c r="I113" i="1" s="1"/>
  <c r="N112" i="1"/>
  <c r="O112" i="1" s="1"/>
  <c r="P112" i="1" s="1"/>
  <c r="K112" i="1"/>
  <c r="H112" i="1"/>
  <c r="I112" i="1" s="1"/>
  <c r="N111" i="1"/>
  <c r="O111" i="1" s="1"/>
  <c r="H111" i="1"/>
  <c r="N110" i="1"/>
  <c r="O110" i="1" s="1"/>
  <c r="P110" i="1" s="1"/>
  <c r="K110" i="1"/>
  <c r="H110" i="1"/>
  <c r="I110" i="1" s="1"/>
  <c r="N109" i="1"/>
  <c r="O109" i="1" s="1"/>
  <c r="P109" i="1" s="1"/>
  <c r="K109" i="1"/>
  <c r="H109" i="1"/>
  <c r="I109" i="1" s="1"/>
  <c r="N108" i="1"/>
  <c r="O108" i="1" s="1"/>
  <c r="P108" i="1" s="1"/>
  <c r="N107" i="1"/>
  <c r="O107" i="1" s="1"/>
  <c r="P107" i="1" s="1"/>
  <c r="K107" i="1"/>
  <c r="H107" i="1"/>
  <c r="I107" i="1" s="1"/>
  <c r="N106" i="1"/>
  <c r="O106" i="1" s="1"/>
  <c r="P106" i="1" s="1"/>
  <c r="K106" i="1"/>
  <c r="H106" i="1"/>
  <c r="I106" i="1" s="1"/>
  <c r="N105" i="1"/>
  <c r="O105" i="1" s="1"/>
  <c r="P105" i="1" s="1"/>
  <c r="K105" i="1"/>
  <c r="H105" i="1"/>
  <c r="I105" i="1" s="1"/>
  <c r="N104" i="1"/>
  <c r="O104" i="1" s="1"/>
  <c r="P104" i="1" s="1"/>
  <c r="K104" i="1"/>
  <c r="H104" i="1"/>
  <c r="I104" i="1" s="1"/>
  <c r="N102" i="1"/>
  <c r="O102" i="1" s="1"/>
  <c r="P102" i="1" s="1"/>
  <c r="K102" i="1"/>
  <c r="H102" i="1"/>
  <c r="I102" i="1" s="1"/>
  <c r="N101" i="1"/>
  <c r="O101" i="1" s="1"/>
  <c r="P101" i="1" s="1"/>
  <c r="K101" i="1"/>
  <c r="H101" i="1"/>
  <c r="I101" i="1" s="1"/>
  <c r="N100" i="1"/>
  <c r="O100" i="1" s="1"/>
  <c r="P100" i="1" s="1"/>
  <c r="K100" i="1"/>
  <c r="H100" i="1"/>
  <c r="I100" i="1" s="1"/>
  <c r="Q100" i="1" s="1"/>
  <c r="N99" i="1"/>
  <c r="O99" i="1" s="1"/>
  <c r="P99" i="1" s="1"/>
  <c r="K99" i="1"/>
  <c r="H99" i="1"/>
  <c r="I99" i="1" s="1"/>
  <c r="N98" i="1"/>
  <c r="O98" i="1" s="1"/>
  <c r="N96" i="1"/>
  <c r="O96" i="1" s="1"/>
  <c r="P96" i="1" s="1"/>
  <c r="K96" i="1"/>
  <c r="H96" i="1"/>
  <c r="I96" i="1" s="1"/>
  <c r="N95" i="1"/>
  <c r="O95" i="1" s="1"/>
  <c r="P95" i="1" s="1"/>
  <c r="K95" i="1"/>
  <c r="H95" i="1"/>
  <c r="I95" i="1" s="1"/>
  <c r="N94" i="1"/>
  <c r="O94" i="1" s="1"/>
  <c r="P94" i="1" s="1"/>
  <c r="N93" i="1"/>
  <c r="O93" i="1" s="1"/>
  <c r="P93" i="1" s="1"/>
  <c r="N92" i="1"/>
  <c r="O92" i="1" s="1"/>
  <c r="P92" i="1" s="1"/>
  <c r="H92" i="1"/>
  <c r="I92" i="1" s="1"/>
  <c r="N91" i="1"/>
  <c r="O91" i="1" s="1"/>
  <c r="P91" i="1" s="1"/>
  <c r="K91" i="1"/>
  <c r="H91" i="1"/>
  <c r="I91" i="1" s="1"/>
  <c r="N90" i="1"/>
  <c r="O90" i="1" s="1"/>
  <c r="P90" i="1" s="1"/>
  <c r="K90" i="1"/>
  <c r="H90" i="1"/>
  <c r="I90" i="1" s="1"/>
  <c r="N89" i="1"/>
  <c r="O89" i="1" s="1"/>
  <c r="N88" i="1"/>
  <c r="O88" i="1" s="1"/>
  <c r="N87" i="1"/>
  <c r="O87" i="1" s="1"/>
  <c r="N86" i="1"/>
  <c r="O86" i="1" s="1"/>
  <c r="N85" i="1"/>
  <c r="O85" i="1" s="1"/>
  <c r="P85" i="1" s="1"/>
  <c r="K85" i="1"/>
  <c r="H85" i="1"/>
  <c r="I85" i="1" s="1"/>
  <c r="N84" i="1"/>
  <c r="O84" i="1" s="1"/>
  <c r="P84" i="1" s="1"/>
  <c r="K84" i="1"/>
  <c r="H84" i="1"/>
  <c r="I84" i="1" s="1"/>
  <c r="N82" i="1"/>
  <c r="O82" i="1" s="1"/>
  <c r="P82" i="1" s="1"/>
  <c r="K82" i="1"/>
  <c r="H82" i="1"/>
  <c r="I82" i="1" s="1"/>
  <c r="N81" i="1"/>
  <c r="O81" i="1" s="1"/>
  <c r="P81" i="1" s="1"/>
  <c r="N80" i="1"/>
  <c r="O80" i="1" s="1"/>
  <c r="P80" i="1" s="1"/>
  <c r="K80" i="1"/>
  <c r="H80" i="1"/>
  <c r="I80" i="1" s="1"/>
  <c r="N79" i="1"/>
  <c r="O79" i="1" s="1"/>
  <c r="P79" i="1" s="1"/>
  <c r="K79" i="1"/>
  <c r="H79" i="1"/>
  <c r="I79" i="1" s="1"/>
  <c r="N78" i="1"/>
  <c r="O78" i="1" s="1"/>
  <c r="P78" i="1" s="1"/>
  <c r="N77" i="1"/>
  <c r="O77" i="1" s="1"/>
  <c r="P77" i="1" s="1"/>
  <c r="K77" i="1"/>
  <c r="H77" i="1"/>
  <c r="I77" i="1" s="1"/>
  <c r="N76" i="1"/>
  <c r="O76" i="1" s="1"/>
  <c r="P76" i="1" s="1"/>
  <c r="K76" i="1"/>
  <c r="H76" i="1"/>
  <c r="I76" i="1" s="1"/>
  <c r="N75" i="1"/>
  <c r="O75" i="1" s="1"/>
  <c r="P75" i="1" s="1"/>
  <c r="N74" i="1"/>
  <c r="O74" i="1" s="1"/>
  <c r="P74" i="1" s="1"/>
  <c r="K74" i="1"/>
  <c r="H74" i="1"/>
  <c r="I74" i="1" s="1"/>
  <c r="N73" i="1"/>
  <c r="O73" i="1" s="1"/>
  <c r="P73" i="1" s="1"/>
  <c r="K73" i="1"/>
  <c r="H73" i="1"/>
  <c r="I73" i="1" s="1"/>
  <c r="N72" i="1"/>
  <c r="O72" i="1" s="1"/>
  <c r="P72" i="1" s="1"/>
  <c r="K72" i="1"/>
  <c r="H72" i="1"/>
  <c r="I72" i="1" s="1"/>
  <c r="N71" i="1"/>
  <c r="O71" i="1" s="1"/>
  <c r="P71" i="1" s="1"/>
  <c r="K71" i="1"/>
  <c r="H71" i="1"/>
  <c r="I71" i="1" s="1"/>
  <c r="N70" i="1"/>
  <c r="O70" i="1" s="1"/>
  <c r="N69" i="1"/>
  <c r="O69" i="1" s="1"/>
  <c r="N68" i="1"/>
  <c r="O68" i="1" s="1"/>
  <c r="P68" i="1" s="1"/>
  <c r="N67" i="1"/>
  <c r="O67" i="1" s="1"/>
  <c r="P67" i="1" s="1"/>
  <c r="K67" i="1"/>
  <c r="H67" i="1"/>
  <c r="I67" i="1" s="1"/>
  <c r="N66" i="1"/>
  <c r="O66" i="1" s="1"/>
  <c r="N65" i="1"/>
  <c r="O65" i="1" s="1"/>
  <c r="N64" i="1"/>
  <c r="O64" i="1" s="1"/>
  <c r="N63" i="1"/>
  <c r="O63" i="1" s="1"/>
  <c r="P63" i="1" s="1"/>
  <c r="K63" i="1"/>
  <c r="H63" i="1"/>
  <c r="I63" i="1" s="1"/>
  <c r="N62" i="1"/>
  <c r="O62" i="1" s="1"/>
  <c r="P62" i="1" s="1"/>
  <c r="K62" i="1"/>
  <c r="H62" i="1"/>
  <c r="I62" i="1" s="1"/>
  <c r="N60" i="1"/>
  <c r="O60" i="1" s="1"/>
  <c r="P60" i="1" s="1"/>
  <c r="K60" i="1"/>
  <c r="H60" i="1"/>
  <c r="I60" i="1" s="1"/>
  <c r="N59" i="1"/>
  <c r="O59" i="1" s="1"/>
  <c r="N58" i="1"/>
  <c r="O58" i="1" s="1"/>
  <c r="P58" i="1" s="1"/>
  <c r="K58" i="1"/>
  <c r="H58" i="1"/>
  <c r="I58" i="1" s="1"/>
  <c r="N57" i="1"/>
  <c r="O57" i="1" s="1"/>
  <c r="P57" i="1" s="1"/>
  <c r="K57" i="1"/>
  <c r="H57" i="1"/>
  <c r="I57" i="1" s="1"/>
  <c r="N56" i="1"/>
  <c r="O56" i="1" s="1"/>
  <c r="N55" i="1"/>
  <c r="O55" i="1" s="1"/>
  <c r="N54" i="1"/>
  <c r="O54" i="1" s="1"/>
  <c r="P54" i="1" s="1"/>
  <c r="K54" i="1"/>
  <c r="H54" i="1"/>
  <c r="I54" i="1" s="1"/>
  <c r="N53" i="1"/>
  <c r="O53" i="1" s="1"/>
  <c r="P53" i="1" s="1"/>
  <c r="K53" i="1"/>
  <c r="H53" i="1"/>
  <c r="I53" i="1" s="1"/>
  <c r="N52" i="1"/>
  <c r="O52" i="1" s="1"/>
  <c r="N51" i="1"/>
  <c r="O51" i="1" s="1"/>
  <c r="P51" i="1" s="1"/>
  <c r="K51" i="1"/>
  <c r="H51" i="1"/>
  <c r="I51" i="1" s="1"/>
  <c r="N50" i="1"/>
  <c r="O50" i="1" s="1"/>
  <c r="P50" i="1" s="1"/>
  <c r="K50" i="1"/>
  <c r="H50" i="1"/>
  <c r="I50" i="1" s="1"/>
  <c r="N49" i="1"/>
  <c r="O49" i="1" s="1"/>
  <c r="P49" i="1" s="1"/>
  <c r="N48" i="1"/>
  <c r="O48" i="1" s="1"/>
  <c r="P48" i="1" s="1"/>
  <c r="K48" i="1"/>
  <c r="H48" i="1"/>
  <c r="I48" i="1" s="1"/>
  <c r="N47" i="1"/>
  <c r="O47" i="1" s="1"/>
  <c r="P47" i="1" s="1"/>
  <c r="K47" i="1"/>
  <c r="H47" i="1"/>
  <c r="I47" i="1" s="1"/>
  <c r="N46" i="1"/>
  <c r="O46" i="1" s="1"/>
  <c r="P46" i="1" s="1"/>
  <c r="N45" i="1"/>
  <c r="O45" i="1" s="1"/>
  <c r="P45" i="1" s="1"/>
  <c r="N44" i="1"/>
  <c r="O44" i="1" s="1"/>
  <c r="P44" i="1" s="1"/>
  <c r="K44" i="1"/>
  <c r="H44" i="1"/>
  <c r="I44" i="1" s="1"/>
  <c r="N43" i="1"/>
  <c r="O43" i="1" s="1"/>
  <c r="P43" i="1" s="1"/>
  <c r="K43" i="1"/>
  <c r="H43" i="1"/>
  <c r="I43" i="1" s="1"/>
  <c r="N41" i="1"/>
  <c r="O41" i="1" s="1"/>
  <c r="P41" i="1" s="1"/>
  <c r="K41" i="1"/>
  <c r="H41" i="1"/>
  <c r="I41" i="1" s="1"/>
  <c r="N40" i="1"/>
  <c r="O40" i="1" s="1"/>
  <c r="P40" i="1" s="1"/>
  <c r="H40" i="1"/>
  <c r="I40" i="1" s="1"/>
  <c r="N39" i="1"/>
  <c r="O39" i="1" s="1"/>
  <c r="P39" i="1" s="1"/>
  <c r="H39" i="1"/>
  <c r="I39" i="1" s="1"/>
  <c r="N38" i="1"/>
  <c r="O38" i="1" s="1"/>
  <c r="P38" i="1" s="1"/>
  <c r="N37" i="1"/>
  <c r="O37" i="1" s="1"/>
  <c r="P37" i="1" s="1"/>
  <c r="N36" i="1"/>
  <c r="O36" i="1" s="1"/>
  <c r="P36" i="1" s="1"/>
  <c r="N35" i="1"/>
  <c r="O35" i="1" s="1"/>
  <c r="P35" i="1" s="1"/>
  <c r="K35" i="1"/>
  <c r="H35" i="1"/>
  <c r="I35" i="1" s="1"/>
  <c r="N34" i="1"/>
  <c r="O34" i="1" s="1"/>
  <c r="P34" i="1" s="1"/>
  <c r="K34" i="1"/>
  <c r="H34" i="1"/>
  <c r="I34" i="1" s="1"/>
  <c r="N33" i="1"/>
  <c r="O33" i="1" s="1"/>
  <c r="P33" i="1" s="1"/>
  <c r="K33" i="1"/>
  <c r="H33" i="1"/>
  <c r="I33" i="1" s="1"/>
  <c r="N32" i="1"/>
  <c r="O32" i="1" s="1"/>
  <c r="P32" i="1" s="1"/>
  <c r="K32" i="1"/>
  <c r="H32" i="1"/>
  <c r="I32" i="1" s="1"/>
  <c r="N31" i="1"/>
  <c r="O31" i="1" s="1"/>
  <c r="P31" i="1" s="1"/>
  <c r="K31" i="1"/>
  <c r="H31" i="1"/>
  <c r="I31" i="1" s="1"/>
  <c r="N30" i="1"/>
  <c r="O30" i="1" s="1"/>
  <c r="P30" i="1" s="1"/>
  <c r="K30" i="1"/>
  <c r="H30" i="1"/>
  <c r="I30" i="1" s="1"/>
  <c r="N29" i="1"/>
  <c r="O29" i="1" s="1"/>
  <c r="P29" i="1" s="1"/>
  <c r="K29" i="1"/>
  <c r="H29" i="1"/>
  <c r="I29" i="1" s="1"/>
  <c r="Q29" i="1" s="1"/>
  <c r="N28" i="1"/>
  <c r="O28" i="1" s="1"/>
  <c r="P28" i="1" s="1"/>
  <c r="K28" i="1"/>
  <c r="H28" i="1"/>
  <c r="I28" i="1" s="1"/>
  <c r="N27" i="1"/>
  <c r="O27" i="1" s="1"/>
  <c r="P27" i="1" s="1"/>
  <c r="K27" i="1"/>
  <c r="H27" i="1"/>
  <c r="I27" i="1" s="1"/>
  <c r="N26" i="1"/>
  <c r="O26" i="1" s="1"/>
  <c r="P26" i="1" s="1"/>
  <c r="K26" i="1"/>
  <c r="H26" i="1"/>
  <c r="I26" i="1" s="1"/>
  <c r="N24" i="1"/>
  <c r="O24" i="1" s="1"/>
  <c r="P24" i="1" s="1"/>
  <c r="K24" i="1"/>
  <c r="H24" i="1"/>
  <c r="I24" i="1" s="1"/>
  <c r="N23" i="1"/>
  <c r="P23" i="1" s="1"/>
  <c r="K23" i="1"/>
  <c r="H23" i="1"/>
  <c r="I23" i="1" s="1"/>
  <c r="Q84" i="1" l="1"/>
  <c r="Q297" i="1"/>
  <c r="O731" i="1"/>
  <c r="Q195" i="1"/>
  <c r="Q102" i="1"/>
  <c r="Q208" i="1"/>
  <c r="Q307" i="1"/>
  <c r="Q399" i="1"/>
  <c r="Q745" i="1"/>
  <c r="Q747" i="1"/>
  <c r="Q73" i="1"/>
  <c r="Q234" i="1"/>
  <c r="Q269" i="1"/>
  <c r="Q306" i="1"/>
  <c r="Q314" i="1"/>
  <c r="H731" i="1"/>
  <c r="Q159" i="1"/>
  <c r="Q191" i="1"/>
  <c r="Q277" i="1"/>
  <c r="Q431" i="1"/>
  <c r="Q71" i="1"/>
  <c r="Q79" i="1"/>
  <c r="Q99" i="1"/>
  <c r="Q223" i="1"/>
  <c r="Q304" i="1"/>
  <c r="Q395" i="1"/>
  <c r="Q509" i="1"/>
  <c r="Q699" i="1"/>
  <c r="Q737" i="1"/>
  <c r="Q114" i="1"/>
  <c r="Q299" i="1"/>
  <c r="Q251" i="1"/>
  <c r="Q275" i="1"/>
  <c r="Q697" i="1"/>
  <c r="Q549" i="1"/>
  <c r="Q688" i="1"/>
  <c r="Q91" i="1"/>
  <c r="Q96" i="1"/>
  <c r="Q95" i="1"/>
  <c r="Q90" i="1"/>
  <c r="Q85" i="1"/>
  <c r="Q31" i="1"/>
  <c r="Q41" i="1"/>
  <c r="Q209" i="1"/>
  <c r="Q199" i="1"/>
  <c r="Q231" i="1"/>
  <c r="Q250" i="1"/>
  <c r="Q255" i="1"/>
  <c r="Q286" i="1"/>
  <c r="Q293" i="1"/>
  <c r="Q35" i="1"/>
  <c r="Q230" i="1"/>
  <c r="Q40" i="1"/>
  <c r="Q63" i="1"/>
  <c r="Q181" i="1"/>
  <c r="Q243" i="1"/>
  <c r="Q312" i="1"/>
  <c r="Q62" i="1"/>
  <c r="Q242" i="1"/>
  <c r="Q278" i="1"/>
  <c r="Q291" i="1"/>
  <c r="Q367" i="1"/>
  <c r="Q196" i="1"/>
  <c r="Q237" i="1"/>
  <c r="Q290" i="1"/>
  <c r="Q300" i="1"/>
  <c r="Q407" i="1"/>
  <c r="Q418" i="1"/>
  <c r="Q472" i="1"/>
  <c r="Q213" i="1"/>
  <c r="Q296" i="1"/>
  <c r="Q386" i="1"/>
  <c r="Q391" i="1"/>
  <c r="Q546" i="1"/>
  <c r="Q547" i="1"/>
  <c r="Q474" i="1"/>
  <c r="Q500" i="1"/>
  <c r="Q525" i="1"/>
  <c r="Q690" i="1"/>
  <c r="Q743" i="1"/>
  <c r="Q37" i="1"/>
  <c r="Q204" i="1"/>
  <c r="Q305" i="1"/>
  <c r="Q447" i="1"/>
  <c r="Q748" i="1"/>
  <c r="Q423" i="1"/>
  <c r="Q463" i="1"/>
  <c r="Q730" i="1"/>
  <c r="Q46" i="1"/>
  <c r="Q388" i="1"/>
  <c r="Q693" i="1"/>
  <c r="Q702" i="1"/>
  <c r="Q78" i="1"/>
  <c r="Q289" i="1"/>
  <c r="Q301" i="1"/>
  <c r="Q506" i="1"/>
  <c r="Q512" i="1"/>
  <c r="Q527" i="1"/>
  <c r="Q544" i="1"/>
  <c r="Q603" i="1"/>
  <c r="Q605" i="1"/>
  <c r="Q510" i="1"/>
  <c r="Q528" i="1"/>
  <c r="Q694" i="1"/>
  <c r="Q497" i="1"/>
  <c r="Q501" i="1"/>
  <c r="Q508" i="1"/>
  <c r="Q489" i="1"/>
  <c r="Q471" i="1"/>
  <c r="Q427" i="1"/>
  <c r="Q411" i="1"/>
  <c r="Q416" i="1"/>
  <c r="Q415" i="1"/>
  <c r="Q403" i="1"/>
  <c r="Q389" i="1"/>
  <c r="Q342" i="1"/>
  <c r="Q338" i="1"/>
  <c r="Q364" i="1"/>
  <c r="Q316" i="1"/>
  <c r="Q320" i="1"/>
  <c r="Q326" i="1"/>
  <c r="Q336" i="1"/>
  <c r="Q344" i="1"/>
  <c r="Q346" i="1"/>
  <c r="Q348" i="1"/>
  <c r="Q350" i="1"/>
  <c r="Q352" i="1"/>
  <c r="O365" i="1"/>
  <c r="P365" i="1" s="1"/>
  <c r="Q365" i="1" s="1"/>
  <c r="Q360" i="1"/>
  <c r="Q356" i="1"/>
  <c r="H355" i="1"/>
  <c r="I355" i="1" s="1"/>
  <c r="O353" i="1"/>
  <c r="P353" i="1" s="1"/>
  <c r="Q353" i="1" s="1"/>
  <c r="O343" i="1"/>
  <c r="P343" i="1" s="1"/>
  <c r="Q324" i="1"/>
  <c r="O321" i="1"/>
  <c r="P321" i="1" s="1"/>
  <c r="Q321" i="1" s="1"/>
  <c r="O366" i="1"/>
  <c r="P366" i="1" s="1"/>
  <c r="Q366" i="1" s="1"/>
  <c r="O361" i="1"/>
  <c r="P361" i="1" s="1"/>
  <c r="O355" i="1"/>
  <c r="P355" i="1" s="1"/>
  <c r="O354" i="1"/>
  <c r="P354" i="1" s="1"/>
  <c r="Q354" i="1" s="1"/>
  <c r="O340" i="1"/>
  <c r="P340" i="1" s="1"/>
  <c r="Q340" i="1" s="1"/>
  <c r="O333" i="1"/>
  <c r="P333" i="1" s="1"/>
  <c r="O330" i="1"/>
  <c r="P330" i="1" s="1"/>
  <c r="Q330" i="1" s="1"/>
  <c r="O327" i="1"/>
  <c r="P327" i="1" s="1"/>
  <c r="Q327" i="1" s="1"/>
  <c r="O323" i="1"/>
  <c r="P323" i="1" s="1"/>
  <c r="Q323" i="1" s="1"/>
  <c r="Q322" i="1"/>
  <c r="O318" i="1"/>
  <c r="P318" i="1" s="1"/>
  <c r="Q318" i="1" s="1"/>
  <c r="Q362" i="1"/>
  <c r="Q358" i="1"/>
  <c r="K356" i="1"/>
  <c r="K360" i="1"/>
  <c r="Q334" i="1"/>
  <c r="O328" i="1"/>
  <c r="P328" i="1" s="1"/>
  <c r="Q328" i="1" s="1"/>
  <c r="O332" i="1"/>
  <c r="P332" i="1" s="1"/>
  <c r="Q332" i="1" s="1"/>
  <c r="Q308" i="1"/>
  <c r="Q303" i="1"/>
  <c r="Q298" i="1"/>
  <c r="Q295" i="1"/>
  <c r="Q292" i="1"/>
  <c r="Q284" i="1"/>
  <c r="Q276" i="1"/>
  <c r="Q259" i="1"/>
  <c r="Q258" i="1"/>
  <c r="Q256" i="1"/>
  <c r="Q244" i="1"/>
  <c r="O220" i="1"/>
  <c r="O219" i="1"/>
  <c r="P219" i="1" s="1"/>
  <c r="Q219" i="1" s="1"/>
  <c r="O218" i="1"/>
  <c r="O222" i="1"/>
  <c r="O221" i="1"/>
  <c r="O189" i="1"/>
  <c r="P189" i="1" s="1"/>
  <c r="Q189" i="1" s="1"/>
  <c r="Q155" i="1"/>
  <c r="Q169" i="1"/>
  <c r="Q175" i="1"/>
  <c r="Q154" i="1"/>
  <c r="Q162" i="1"/>
  <c r="Q163" i="1"/>
  <c r="Q152" i="1"/>
  <c r="O157" i="1"/>
  <c r="O151" i="1"/>
  <c r="P151" i="1" s="1"/>
  <c r="Q151" i="1" s="1"/>
  <c r="O144" i="1"/>
  <c r="P144" i="1" s="1"/>
  <c r="Q144" i="1" s="1"/>
  <c r="O143" i="1"/>
  <c r="P143" i="1" s="1"/>
  <c r="Q143" i="1" s="1"/>
  <c r="O142" i="1"/>
  <c r="P142" i="1" s="1"/>
  <c r="Q142" i="1" s="1"/>
  <c r="O140" i="1"/>
  <c r="P140" i="1" s="1"/>
  <c r="Q140" i="1" s="1"/>
  <c r="O131" i="1"/>
  <c r="O126" i="1"/>
  <c r="O122" i="1"/>
  <c r="Q165" i="1"/>
  <c r="Q161" i="1"/>
  <c r="Q150" i="1"/>
  <c r="Q149" i="1"/>
  <c r="Q148" i="1"/>
  <c r="Q146" i="1"/>
  <c r="Q147" i="1"/>
  <c r="O138" i="1"/>
  <c r="P138" i="1" s="1"/>
  <c r="Q138" i="1" s="1"/>
  <c r="O118" i="1"/>
  <c r="Q101" i="1"/>
  <c r="Q92" i="1"/>
  <c r="Q93" i="1"/>
  <c r="Q94" i="1"/>
  <c r="Q81" i="1"/>
  <c r="Q39" i="1"/>
  <c r="Q38" i="1"/>
  <c r="Q36" i="1"/>
  <c r="Q753" i="1"/>
  <c r="Q732" i="1"/>
  <c r="Q733" i="1"/>
  <c r="Q701" i="1"/>
  <c r="Q691" i="1"/>
  <c r="Q696" i="1"/>
  <c r="Q606" i="1"/>
  <c r="Q611" i="1"/>
  <c r="Q513" i="1"/>
  <c r="Q487" i="1"/>
  <c r="Q498" i="1"/>
  <c r="Q475" i="1"/>
  <c r="Q502" i="1"/>
  <c r="Q507" i="1"/>
  <c r="Q370" i="1"/>
  <c r="Q372" i="1"/>
  <c r="Q374" i="1"/>
  <c r="Q378" i="1"/>
  <c r="Q380" i="1"/>
  <c r="Q382" i="1"/>
  <c r="Q384" i="1"/>
  <c r="Q369" i="1"/>
  <c r="Q371" i="1"/>
  <c r="Q373" i="1"/>
  <c r="Q377" i="1"/>
  <c r="Q379" i="1"/>
  <c r="Q381" i="1"/>
  <c r="Q383" i="1"/>
  <c r="Q385" i="1"/>
  <c r="Q387" i="1"/>
  <c r="Q420" i="1"/>
  <c r="Q422" i="1"/>
  <c r="Q426" i="1"/>
  <c r="Q428" i="1"/>
  <c r="Q430" i="1"/>
  <c r="Q432" i="1"/>
  <c r="Q446" i="1"/>
  <c r="Q454" i="1"/>
  <c r="Q393" i="1"/>
  <c r="Q397" i="1"/>
  <c r="Q401" i="1"/>
  <c r="Q405" i="1"/>
  <c r="Q409" i="1"/>
  <c r="Q413" i="1"/>
  <c r="Q417" i="1"/>
  <c r="Q461" i="1"/>
  <c r="Q465" i="1"/>
  <c r="Q390" i="1"/>
  <c r="Q392" i="1"/>
  <c r="Q394" i="1"/>
  <c r="Q396" i="1"/>
  <c r="Q398" i="1"/>
  <c r="Q400" i="1"/>
  <c r="Q402" i="1"/>
  <c r="Q404" i="1"/>
  <c r="Q406" i="1"/>
  <c r="Q408" i="1"/>
  <c r="Q410" i="1"/>
  <c r="Q412" i="1"/>
  <c r="Q414" i="1"/>
  <c r="Q460" i="1"/>
  <c r="Q462" i="1"/>
  <c r="Q464" i="1"/>
  <c r="Q421" i="1"/>
  <c r="Q425" i="1"/>
  <c r="Q429" i="1"/>
  <c r="Q453" i="1"/>
  <c r="Q311" i="1"/>
  <c r="Q313" i="1"/>
  <c r="Q315" i="1"/>
  <c r="Q317" i="1"/>
  <c r="Q319" i="1"/>
  <c r="Q325" i="1"/>
  <c r="Q329" i="1"/>
  <c r="Q331" i="1"/>
  <c r="Q333" i="1"/>
  <c r="Q335" i="1"/>
  <c r="Q337" i="1"/>
  <c r="Q339" i="1"/>
  <c r="Q341" i="1"/>
  <c r="Q343" i="1"/>
  <c r="Q345" i="1"/>
  <c r="Q347" i="1"/>
  <c r="Q349" i="1"/>
  <c r="Q351" i="1"/>
  <c r="Q357" i="1"/>
  <c r="Q359" i="1"/>
  <c r="Q361" i="1"/>
  <c r="Q363" i="1"/>
  <c r="Q245" i="1"/>
  <c r="Q254" i="1"/>
  <c r="Q266" i="1"/>
  <c r="Q268" i="1"/>
  <c r="Q270" i="1"/>
  <c r="Q272" i="1"/>
  <c r="Q274" i="1"/>
  <c r="Q294" i="1"/>
  <c r="Q265" i="1"/>
  <c r="Q267" i="1"/>
  <c r="Q288" i="1"/>
  <c r="Q309" i="1"/>
  <c r="Q246" i="1"/>
  <c r="Q257" i="1"/>
  <c r="Q262" i="1"/>
  <c r="Q264" i="1"/>
  <c r="Q282" i="1"/>
  <c r="Q285" i="1"/>
  <c r="Q287" i="1"/>
  <c r="Q302" i="1"/>
  <c r="Q261" i="1"/>
  <c r="Q263" i="1"/>
  <c r="Q281" i="1"/>
  <c r="Q283" i="1"/>
  <c r="Q104" i="1"/>
  <c r="Q106" i="1"/>
  <c r="Q108" i="1"/>
  <c r="Q110" i="1"/>
  <c r="Q112" i="1"/>
  <c r="Q116" i="1"/>
  <c r="Q120" i="1"/>
  <c r="Q132" i="1"/>
  <c r="Q136" i="1"/>
  <c r="Q153" i="1"/>
  <c r="Q105" i="1"/>
  <c r="Q107" i="1"/>
  <c r="Q109" i="1"/>
  <c r="Q113" i="1"/>
  <c r="Q115" i="1"/>
  <c r="Q121" i="1"/>
  <c r="Q123" i="1"/>
  <c r="Q133" i="1"/>
  <c r="Q137" i="1"/>
  <c r="Q139" i="1"/>
  <c r="Q141" i="1"/>
  <c r="Q145" i="1"/>
  <c r="Q166" i="1"/>
  <c r="Q168" i="1"/>
  <c r="Q172" i="1"/>
  <c r="Q176" i="1"/>
  <c r="Q180" i="1"/>
  <c r="Q182" i="1"/>
  <c r="Q188" i="1"/>
  <c r="Q190" i="1"/>
  <c r="Q194" i="1"/>
  <c r="Q198" i="1"/>
  <c r="Q205" i="1"/>
  <c r="Q233" i="1"/>
  <c r="Q160" i="1"/>
  <c r="Q164" i="1"/>
  <c r="Q206" i="1"/>
  <c r="Q232" i="1"/>
  <c r="Q240" i="1"/>
  <c r="Q214" i="1"/>
  <c r="Q217" i="1"/>
  <c r="Q216" i="1"/>
  <c r="Q224" i="1"/>
  <c r="Q68" i="1"/>
  <c r="Q76" i="1"/>
  <c r="Q67" i="1"/>
  <c r="Q75" i="1"/>
  <c r="Q77" i="1"/>
  <c r="Q82" i="1"/>
  <c r="Q72" i="1"/>
  <c r="Q74" i="1"/>
  <c r="Q80" i="1"/>
  <c r="Q48" i="1"/>
  <c r="Q50" i="1"/>
  <c r="Q58" i="1"/>
  <c r="Q45" i="1"/>
  <c r="Q47" i="1"/>
  <c r="Q53" i="1"/>
  <c r="Q44" i="1"/>
  <c r="Q54" i="1"/>
  <c r="Q60" i="1"/>
  <c r="Q43" i="1"/>
  <c r="Q49" i="1"/>
  <c r="Q51" i="1"/>
  <c r="Q57" i="1"/>
  <c r="Q30" i="1"/>
  <c r="Q32" i="1"/>
  <c r="Q26" i="1"/>
  <c r="Q28" i="1"/>
  <c r="Q34" i="1"/>
  <c r="Q27" i="1"/>
  <c r="Q33" i="1"/>
  <c r="Q24" i="1"/>
  <c r="Q23" i="1"/>
  <c r="F440" i="1"/>
  <c r="K440" i="1" s="1"/>
  <c r="F433" i="1"/>
  <c r="K433" i="1" s="1"/>
  <c r="F167" i="1"/>
  <c r="K167" i="1" s="1"/>
  <c r="B262" i="1"/>
  <c r="B325" i="1"/>
  <c r="B326" i="1"/>
  <c r="C45" i="2"/>
  <c r="D45" i="2"/>
  <c r="B746" i="1"/>
  <c r="B510" i="1"/>
  <c r="B507" i="1"/>
  <c r="B747" i="1"/>
  <c r="B748" i="1"/>
  <c r="B750" i="1"/>
  <c r="B751" i="1"/>
  <c r="B24" i="1"/>
  <c r="B25" i="1"/>
  <c r="B26" i="1"/>
  <c r="B27" i="1"/>
  <c r="B31" i="1"/>
  <c r="B32" i="1"/>
  <c r="B34" i="1"/>
  <c r="B35" i="1"/>
  <c r="B41" i="1"/>
  <c r="B42" i="1"/>
  <c r="B43" i="1"/>
  <c r="B44" i="1"/>
  <c r="B47" i="1"/>
  <c r="B48" i="1"/>
  <c r="B50" i="1"/>
  <c r="B51" i="1"/>
  <c r="B53" i="1"/>
  <c r="B54" i="1"/>
  <c r="B57" i="1"/>
  <c r="B58" i="1"/>
  <c r="B60" i="1"/>
  <c r="B61" i="1"/>
  <c r="B62" i="1"/>
  <c r="B63" i="1"/>
  <c r="B67" i="1"/>
  <c r="B71" i="1"/>
  <c r="B72" i="1"/>
  <c r="B73" i="1"/>
  <c r="B74" i="1"/>
  <c r="B76" i="1"/>
  <c r="B77" i="1"/>
  <c r="B79" i="1"/>
  <c r="B80" i="1"/>
  <c r="B82" i="1"/>
  <c r="B83" i="1"/>
  <c r="B84" i="1"/>
  <c r="B85" i="1"/>
  <c r="B90" i="1"/>
  <c r="B91" i="1"/>
  <c r="B95" i="1"/>
  <c r="B96" i="1"/>
  <c r="B99" i="1"/>
  <c r="B100" i="1"/>
  <c r="B102" i="1"/>
  <c r="B103" i="1"/>
  <c r="B104" i="1"/>
  <c r="B105" i="1"/>
  <c r="B106" i="1"/>
  <c r="B107" i="1"/>
  <c r="B109" i="1"/>
  <c r="B110" i="1"/>
  <c r="B112" i="1"/>
  <c r="B113" i="1"/>
  <c r="B115" i="1"/>
  <c r="B116" i="1"/>
  <c r="B120" i="1"/>
  <c r="B121" i="1"/>
  <c r="B132" i="1"/>
  <c r="B133" i="1"/>
  <c r="B136" i="1"/>
  <c r="B137" i="1"/>
  <c r="B152" i="1"/>
  <c r="B153" i="1"/>
  <c r="B154" i="1"/>
  <c r="B155" i="1"/>
  <c r="B159" i="1"/>
  <c r="B160" i="1"/>
  <c r="B162" i="1"/>
  <c r="B163" i="1"/>
  <c r="B168" i="1"/>
  <c r="B169" i="1"/>
  <c r="B175" i="1"/>
  <c r="B176" i="1"/>
  <c r="B179" i="1"/>
  <c r="B180" i="1"/>
  <c r="B181" i="1"/>
  <c r="B182" i="1"/>
  <c r="B190" i="1"/>
  <c r="B191" i="1"/>
  <c r="B195" i="1"/>
  <c r="B196" i="1"/>
  <c r="B198" i="1"/>
  <c r="B199" i="1"/>
  <c r="B205" i="1"/>
  <c r="B206" i="1"/>
  <c r="B208" i="1"/>
  <c r="B209" i="1"/>
  <c r="B213" i="1"/>
  <c r="B214" i="1"/>
  <c r="B216" i="1"/>
  <c r="B217" i="1"/>
  <c r="B223" i="1"/>
  <c r="B224" i="1"/>
  <c r="B230" i="1"/>
  <c r="B231" i="1"/>
  <c r="B233" i="1"/>
  <c r="B234" i="1"/>
  <c r="B236" i="1"/>
  <c r="B237" i="1"/>
  <c r="B240" i="1"/>
  <c r="B241" i="1"/>
  <c r="B242" i="1"/>
  <c r="B243" i="1"/>
  <c r="B245" i="1"/>
  <c r="B246" i="1"/>
  <c r="B250" i="1"/>
  <c r="B251" i="1"/>
  <c r="B254" i="1"/>
  <c r="B255" i="1"/>
  <c r="B263" i="1"/>
  <c r="B265" i="1"/>
  <c r="B266" i="1"/>
  <c r="B269" i="1"/>
  <c r="B270" i="1"/>
  <c r="B274" i="1"/>
  <c r="B275" i="1"/>
  <c r="B277" i="1"/>
  <c r="B278" i="1"/>
  <c r="B281" i="1"/>
  <c r="B282" i="1"/>
  <c r="B285" i="1"/>
  <c r="B286" i="1"/>
  <c r="B290" i="1"/>
  <c r="B291" i="1"/>
  <c r="B293" i="1"/>
  <c r="B294" i="1"/>
  <c r="B296" i="1"/>
  <c r="B297" i="1"/>
  <c r="B299" i="1"/>
  <c r="B300" i="1"/>
  <c r="B306" i="1"/>
  <c r="B307" i="1"/>
  <c r="B309" i="1"/>
  <c r="B310" i="1"/>
  <c r="B311" i="1"/>
  <c r="B312" i="1"/>
  <c r="B313" i="1"/>
  <c r="B314" i="1"/>
  <c r="B335" i="1"/>
  <c r="B336" i="1"/>
  <c r="B338" i="1"/>
  <c r="B339" i="1"/>
  <c r="B341" i="1"/>
  <c r="B342" i="1"/>
  <c r="B344" i="1"/>
  <c r="B345" i="1"/>
  <c r="B351" i="1"/>
  <c r="B352" i="1"/>
  <c r="B363" i="1"/>
  <c r="B364" i="1"/>
  <c r="B367" i="1"/>
  <c r="B368" i="1"/>
  <c r="B369" i="1"/>
  <c r="B370" i="1"/>
  <c r="B385" i="1"/>
  <c r="B386" i="1"/>
  <c r="B391" i="1"/>
  <c r="B392" i="1"/>
  <c r="B394" i="1"/>
  <c r="B395" i="1"/>
  <c r="B407" i="1"/>
  <c r="B408" i="1"/>
  <c r="B417" i="1"/>
  <c r="B418" i="1"/>
  <c r="B429" i="1"/>
  <c r="B430" i="1"/>
  <c r="B431" i="1"/>
  <c r="B432" i="1"/>
  <c r="B439" i="1"/>
  <c r="B446" i="1"/>
  <c r="B453" i="1"/>
  <c r="B460" i="1"/>
  <c r="B461" i="1"/>
  <c r="B464" i="1"/>
  <c r="B465" i="1"/>
  <c r="B472" i="1"/>
  <c r="B473" i="1"/>
  <c r="B474" i="1"/>
  <c r="B475" i="1"/>
  <c r="B497" i="1"/>
  <c r="B498" i="1"/>
  <c r="B500" i="1"/>
  <c r="B501" i="1"/>
  <c r="B502" i="1"/>
  <c r="B511" i="1"/>
  <c r="B512" i="1"/>
  <c r="B513" i="1"/>
  <c r="B525" i="1"/>
  <c r="B526" i="1"/>
  <c r="B527" i="1"/>
  <c r="B528" i="1"/>
  <c r="B532" i="1"/>
  <c r="B533" i="1"/>
  <c r="B535" i="1"/>
  <c r="B536" i="1"/>
  <c r="B544" i="1"/>
  <c r="B545" i="1"/>
  <c r="B546" i="1"/>
  <c r="B547" i="1"/>
  <c r="B549" i="1"/>
  <c r="B550" i="1"/>
  <c r="B551" i="1"/>
  <c r="B552" i="1"/>
  <c r="B553" i="1"/>
  <c r="B565" i="1"/>
  <c r="B566" i="1"/>
  <c r="B573" i="1"/>
  <c r="B574" i="1"/>
  <c r="B576" i="1"/>
  <c r="B577" i="1"/>
  <c r="B580" i="1"/>
  <c r="B581" i="1"/>
  <c r="B582" i="1"/>
  <c r="B583" i="1"/>
  <c r="B586" i="1"/>
  <c r="B587" i="1"/>
  <c r="B591" i="1"/>
  <c r="B592" i="1"/>
  <c r="B609" i="1"/>
  <c r="B611" i="1"/>
  <c r="B612" i="1"/>
  <c r="B613" i="1"/>
  <c r="B614" i="1"/>
  <c r="B620" i="1"/>
  <c r="B623" i="1"/>
  <c r="B624" i="1"/>
  <c r="B641" i="1"/>
  <c r="B642" i="1"/>
  <c r="B654" i="1"/>
  <c r="B655" i="1"/>
  <c r="B669" i="1"/>
  <c r="B670" i="1"/>
  <c r="B672" i="1"/>
  <c r="B673" i="1"/>
  <c r="B678" i="1"/>
  <c r="B679" i="1"/>
  <c r="B681" i="1"/>
  <c r="B682" i="1"/>
  <c r="B693" i="1"/>
  <c r="B694" i="1"/>
  <c r="B696" i="1"/>
  <c r="B697" i="1"/>
  <c r="B699" i="1"/>
  <c r="B700" i="1"/>
  <c r="B701" i="1"/>
  <c r="B702" i="1"/>
  <c r="B704" i="1"/>
  <c r="B705" i="1"/>
  <c r="B708" i="1"/>
  <c r="B709" i="1"/>
  <c r="B711" i="1"/>
  <c r="B712" i="1"/>
  <c r="B714" i="1"/>
  <c r="B715" i="1"/>
  <c r="B718" i="1"/>
  <c r="B719" i="1"/>
  <c r="B721" i="1"/>
  <c r="B722" i="1"/>
  <c r="B724" i="1"/>
  <c r="B725" i="1"/>
  <c r="B727" i="1"/>
  <c r="B728" i="1"/>
  <c r="B730" i="1"/>
  <c r="B731" i="1"/>
  <c r="B732" i="1"/>
  <c r="B733" i="1"/>
  <c r="F749" i="1"/>
  <c r="F684" i="1"/>
  <c r="F683" i="1"/>
  <c r="F680" i="1"/>
  <c r="F677" i="1"/>
  <c r="F676" i="1"/>
  <c r="F675" i="1"/>
  <c r="F674" i="1"/>
  <c r="F671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3" i="1"/>
  <c r="F652" i="1"/>
  <c r="F651" i="1"/>
  <c r="F650" i="1"/>
  <c r="F649" i="1"/>
  <c r="F648" i="1"/>
  <c r="F647" i="1"/>
  <c r="F646" i="1"/>
  <c r="F645" i="1"/>
  <c r="F644" i="1"/>
  <c r="F643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2" i="1"/>
  <c r="F621" i="1"/>
  <c r="F618" i="1"/>
  <c r="F617" i="1"/>
  <c r="F616" i="1"/>
  <c r="F615" i="1"/>
  <c r="F610" i="1"/>
  <c r="F599" i="1"/>
  <c r="F596" i="1"/>
  <c r="F593" i="1"/>
  <c r="F590" i="1"/>
  <c r="F589" i="1"/>
  <c r="F588" i="1"/>
  <c r="F585" i="1"/>
  <c r="F584" i="1"/>
  <c r="F579" i="1"/>
  <c r="F578" i="1"/>
  <c r="F575" i="1"/>
  <c r="F572" i="1"/>
  <c r="F571" i="1"/>
  <c r="F570" i="1"/>
  <c r="F569" i="1"/>
  <c r="F568" i="1"/>
  <c r="F567" i="1"/>
  <c r="F564" i="1"/>
  <c r="F563" i="1"/>
  <c r="F562" i="1"/>
  <c r="F561" i="1"/>
  <c r="F560" i="1"/>
  <c r="F559" i="1"/>
  <c r="F558" i="1"/>
  <c r="F557" i="1"/>
  <c r="F556" i="1"/>
  <c r="F555" i="1"/>
  <c r="F554" i="1"/>
  <c r="F548" i="1"/>
  <c r="F541" i="1"/>
  <c r="F540" i="1"/>
  <c r="F539" i="1"/>
  <c r="F538" i="1"/>
  <c r="K538" i="1" s="1"/>
  <c r="F537" i="1"/>
  <c r="F534" i="1"/>
  <c r="F531" i="1"/>
  <c r="F530" i="1"/>
  <c r="F529" i="1"/>
  <c r="F524" i="1"/>
  <c r="F523" i="1"/>
  <c r="F522" i="1"/>
  <c r="F521" i="1"/>
  <c r="P521" i="1" s="1"/>
  <c r="F520" i="1"/>
  <c r="F519" i="1"/>
  <c r="P519" i="1" s="1"/>
  <c r="F518" i="1"/>
  <c r="F517" i="1"/>
  <c r="F516" i="1"/>
  <c r="F515" i="1"/>
  <c r="P515" i="1" s="1"/>
  <c r="F514" i="1"/>
  <c r="F505" i="1"/>
  <c r="F504" i="1"/>
  <c r="F503" i="1"/>
  <c r="F499" i="1"/>
  <c r="F496" i="1"/>
  <c r="F495" i="1"/>
  <c r="F494" i="1"/>
  <c r="P494" i="1" s="1"/>
  <c r="F493" i="1"/>
  <c r="F492" i="1"/>
  <c r="F491" i="1"/>
  <c r="F490" i="1"/>
  <c r="P490" i="1" s="1"/>
  <c r="F488" i="1"/>
  <c r="F486" i="1"/>
  <c r="P486" i="1" s="1"/>
  <c r="F485" i="1"/>
  <c r="F484" i="1"/>
  <c r="P484" i="1" s="1"/>
  <c r="F483" i="1"/>
  <c r="F482" i="1"/>
  <c r="F481" i="1"/>
  <c r="F480" i="1"/>
  <c r="P480" i="1" s="1"/>
  <c r="F479" i="1"/>
  <c r="F478" i="1"/>
  <c r="P478" i="1" s="1"/>
  <c r="F477" i="1"/>
  <c r="F476" i="1"/>
  <c r="K476" i="1" s="1"/>
  <c r="F253" i="1"/>
  <c r="F252" i="1"/>
  <c r="P252" i="1" s="1"/>
  <c r="F249" i="1"/>
  <c r="F248" i="1"/>
  <c r="K248" i="1" s="1"/>
  <c r="F239" i="1"/>
  <c r="F238" i="1"/>
  <c r="F235" i="1"/>
  <c r="F229" i="1"/>
  <c r="F228" i="1"/>
  <c r="F227" i="1"/>
  <c r="K227" i="1" s="1"/>
  <c r="F226" i="1"/>
  <c r="F225" i="1"/>
  <c r="F222" i="1"/>
  <c r="F221" i="1"/>
  <c r="F220" i="1"/>
  <c r="F218" i="1"/>
  <c r="F215" i="1"/>
  <c r="F212" i="1"/>
  <c r="F211" i="1"/>
  <c r="F210" i="1"/>
  <c r="F207" i="1"/>
  <c r="F203" i="1"/>
  <c r="F202" i="1"/>
  <c r="F201" i="1"/>
  <c r="F200" i="1"/>
  <c r="F197" i="1"/>
  <c r="F193" i="1"/>
  <c r="F192" i="1"/>
  <c r="F187" i="1"/>
  <c r="F186" i="1"/>
  <c r="F185" i="1"/>
  <c r="F184" i="1"/>
  <c r="F183" i="1"/>
  <c r="F178" i="1"/>
  <c r="F177" i="1"/>
  <c r="F174" i="1"/>
  <c r="F173" i="1"/>
  <c r="F171" i="1"/>
  <c r="F170" i="1"/>
  <c r="F89" i="1"/>
  <c r="F88" i="1"/>
  <c r="F87" i="1"/>
  <c r="F86" i="1"/>
  <c r="K539" i="1" l="1"/>
  <c r="I539" i="1"/>
  <c r="K541" i="1"/>
  <c r="I541" i="1"/>
  <c r="K749" i="1"/>
  <c r="I749" i="1"/>
  <c r="P749" i="1"/>
  <c r="O746" i="1" s="1"/>
  <c r="F45" i="2" s="1"/>
  <c r="Q731" i="1"/>
  <c r="K617" i="1"/>
  <c r="I617" i="1"/>
  <c r="P617" i="1"/>
  <c r="K625" i="1"/>
  <c r="I625" i="1"/>
  <c r="P625" i="1"/>
  <c r="K629" i="1"/>
  <c r="I629" i="1"/>
  <c r="P629" i="1"/>
  <c r="K647" i="1"/>
  <c r="I647" i="1"/>
  <c r="P647" i="1"/>
  <c r="K657" i="1"/>
  <c r="I657" i="1"/>
  <c r="P657" i="1"/>
  <c r="K671" i="1"/>
  <c r="P671" i="1"/>
  <c r="I671" i="1"/>
  <c r="Q671" i="1" s="1"/>
  <c r="K621" i="1"/>
  <c r="I621" i="1"/>
  <c r="P621" i="1"/>
  <c r="K627" i="1"/>
  <c r="I627" i="1"/>
  <c r="P627" i="1"/>
  <c r="K635" i="1"/>
  <c r="I635" i="1"/>
  <c r="P635" i="1"/>
  <c r="I645" i="1"/>
  <c r="K645" i="1"/>
  <c r="P645" i="1"/>
  <c r="K649" i="1"/>
  <c r="I649" i="1"/>
  <c r="P649" i="1"/>
  <c r="I659" i="1"/>
  <c r="K659" i="1"/>
  <c r="P659" i="1"/>
  <c r="K663" i="1"/>
  <c r="I663" i="1"/>
  <c r="P663" i="1"/>
  <c r="K667" i="1"/>
  <c r="I667" i="1"/>
  <c r="P667" i="1"/>
  <c r="K675" i="1"/>
  <c r="I675" i="1"/>
  <c r="P675" i="1"/>
  <c r="K616" i="1"/>
  <c r="I616" i="1"/>
  <c r="P616" i="1"/>
  <c r="K622" i="1"/>
  <c r="I622" i="1"/>
  <c r="P622" i="1"/>
  <c r="I628" i="1"/>
  <c r="K628" i="1"/>
  <c r="P628" i="1"/>
  <c r="K632" i="1"/>
  <c r="I632" i="1"/>
  <c r="P632" i="1"/>
  <c r="K636" i="1"/>
  <c r="I636" i="1"/>
  <c r="P636" i="1"/>
  <c r="Q636" i="1" s="1"/>
  <c r="I640" i="1"/>
  <c r="K640" i="1"/>
  <c r="P640" i="1"/>
  <c r="K646" i="1"/>
  <c r="I646" i="1"/>
  <c r="P646" i="1"/>
  <c r="I650" i="1"/>
  <c r="K650" i="1"/>
  <c r="P650" i="1"/>
  <c r="K656" i="1"/>
  <c r="I656" i="1"/>
  <c r="P656" i="1"/>
  <c r="Q656" i="1" s="1"/>
  <c r="I660" i="1"/>
  <c r="K660" i="1"/>
  <c r="P660" i="1"/>
  <c r="Q660" i="1" s="1"/>
  <c r="I664" i="1"/>
  <c r="K664" i="1"/>
  <c r="P664" i="1"/>
  <c r="K668" i="1"/>
  <c r="I668" i="1"/>
  <c r="P668" i="1"/>
  <c r="K676" i="1"/>
  <c r="P676" i="1"/>
  <c r="I676" i="1"/>
  <c r="K684" i="1"/>
  <c r="P684" i="1"/>
  <c r="I684" i="1"/>
  <c r="Q684" i="1" s="1"/>
  <c r="P440" i="1"/>
  <c r="K633" i="1"/>
  <c r="I633" i="1"/>
  <c r="P633" i="1"/>
  <c r="K643" i="1"/>
  <c r="I643" i="1"/>
  <c r="P643" i="1"/>
  <c r="K651" i="1"/>
  <c r="I651" i="1"/>
  <c r="P651" i="1"/>
  <c r="K665" i="1"/>
  <c r="I665" i="1"/>
  <c r="P665" i="1"/>
  <c r="K677" i="1"/>
  <c r="I677" i="1"/>
  <c r="P677" i="1"/>
  <c r="K610" i="1"/>
  <c r="I610" i="1"/>
  <c r="P610" i="1"/>
  <c r="I618" i="1"/>
  <c r="K618" i="1"/>
  <c r="P618" i="1"/>
  <c r="K626" i="1"/>
  <c r="I626" i="1"/>
  <c r="P626" i="1"/>
  <c r="K630" i="1"/>
  <c r="I630" i="1"/>
  <c r="P630" i="1"/>
  <c r="I634" i="1"/>
  <c r="K634" i="1"/>
  <c r="P634" i="1"/>
  <c r="K638" i="1"/>
  <c r="I638" i="1"/>
  <c r="P638" i="1"/>
  <c r="I644" i="1"/>
  <c r="K644" i="1"/>
  <c r="P644" i="1"/>
  <c r="K648" i="1"/>
  <c r="I648" i="1"/>
  <c r="P648" i="1"/>
  <c r="K652" i="1"/>
  <c r="I652" i="1"/>
  <c r="P652" i="1"/>
  <c r="K658" i="1"/>
  <c r="I658" i="1"/>
  <c r="P658" i="1"/>
  <c r="Q658" i="1" s="1"/>
  <c r="K662" i="1"/>
  <c r="I662" i="1"/>
  <c r="P662" i="1"/>
  <c r="K666" i="1"/>
  <c r="I666" i="1"/>
  <c r="P666" i="1"/>
  <c r="I674" i="1"/>
  <c r="K674" i="1"/>
  <c r="P674" i="1"/>
  <c r="K680" i="1"/>
  <c r="I680" i="1"/>
  <c r="P680" i="1"/>
  <c r="K637" i="1"/>
  <c r="I637" i="1"/>
  <c r="P637" i="1"/>
  <c r="K661" i="1"/>
  <c r="I661" i="1"/>
  <c r="P661" i="1"/>
  <c r="K615" i="1"/>
  <c r="I615" i="1"/>
  <c r="P615" i="1"/>
  <c r="K631" i="1"/>
  <c r="I631" i="1"/>
  <c r="P631" i="1"/>
  <c r="I639" i="1"/>
  <c r="K639" i="1"/>
  <c r="P639" i="1"/>
  <c r="K653" i="1"/>
  <c r="I653" i="1"/>
  <c r="P653" i="1"/>
  <c r="K683" i="1"/>
  <c r="P683" i="1"/>
  <c r="I683" i="1"/>
  <c r="I440" i="1"/>
  <c r="K89" i="1"/>
  <c r="I89" i="1"/>
  <c r="P89" i="1"/>
  <c r="K174" i="1"/>
  <c r="P174" i="1"/>
  <c r="I174" i="1"/>
  <c r="Q174" i="1" s="1"/>
  <c r="K184" i="1"/>
  <c r="I184" i="1"/>
  <c r="P184" i="1"/>
  <c r="K201" i="1"/>
  <c r="P201" i="1"/>
  <c r="I201" i="1"/>
  <c r="K210" i="1"/>
  <c r="P210" i="1"/>
  <c r="I210" i="1"/>
  <c r="K218" i="1"/>
  <c r="I218" i="1"/>
  <c r="K229" i="1"/>
  <c r="I229" i="1"/>
  <c r="P229" i="1"/>
  <c r="K86" i="1"/>
  <c r="P86" i="1"/>
  <c r="I86" i="1"/>
  <c r="K170" i="1"/>
  <c r="I170" i="1"/>
  <c r="P170" i="1"/>
  <c r="K177" i="1"/>
  <c r="I177" i="1"/>
  <c r="P177" i="1"/>
  <c r="K185" i="1"/>
  <c r="I185" i="1"/>
  <c r="P185" i="1"/>
  <c r="I193" i="1"/>
  <c r="K193" i="1"/>
  <c r="P193" i="1"/>
  <c r="I202" i="1"/>
  <c r="K202" i="1"/>
  <c r="P202" i="1"/>
  <c r="K211" i="1"/>
  <c r="I211" i="1"/>
  <c r="P211" i="1"/>
  <c r="K220" i="1"/>
  <c r="I220" i="1"/>
  <c r="K226" i="1"/>
  <c r="P226" i="1"/>
  <c r="I226" i="1"/>
  <c r="K235" i="1"/>
  <c r="I235" i="1"/>
  <c r="P235" i="1"/>
  <c r="K249" i="1"/>
  <c r="P249" i="1"/>
  <c r="I249" i="1"/>
  <c r="K477" i="1"/>
  <c r="I477" i="1"/>
  <c r="P477" i="1"/>
  <c r="K481" i="1"/>
  <c r="I481" i="1"/>
  <c r="P481" i="1"/>
  <c r="K485" i="1"/>
  <c r="I485" i="1"/>
  <c r="P485" i="1"/>
  <c r="K491" i="1"/>
  <c r="I491" i="1"/>
  <c r="P491" i="1"/>
  <c r="K495" i="1"/>
  <c r="I495" i="1"/>
  <c r="P495" i="1"/>
  <c r="K504" i="1"/>
  <c r="I504" i="1"/>
  <c r="P504" i="1"/>
  <c r="K516" i="1"/>
  <c r="I516" i="1"/>
  <c r="P516" i="1"/>
  <c r="K520" i="1"/>
  <c r="I520" i="1"/>
  <c r="P520" i="1"/>
  <c r="K524" i="1"/>
  <c r="I524" i="1"/>
  <c r="P524" i="1"/>
  <c r="K534" i="1"/>
  <c r="I534" i="1"/>
  <c r="P534" i="1"/>
  <c r="K540" i="1"/>
  <c r="P540" i="1"/>
  <c r="I540" i="1"/>
  <c r="I555" i="1"/>
  <c r="K555" i="1"/>
  <c r="P555" i="1"/>
  <c r="K559" i="1"/>
  <c r="I559" i="1"/>
  <c r="P559" i="1"/>
  <c r="K563" i="1"/>
  <c r="I563" i="1"/>
  <c r="P563" i="1"/>
  <c r="K569" i="1"/>
  <c r="I569" i="1"/>
  <c r="P569" i="1"/>
  <c r="K575" i="1"/>
  <c r="I575" i="1"/>
  <c r="P575" i="1"/>
  <c r="K585" i="1"/>
  <c r="I585" i="1"/>
  <c r="P585" i="1"/>
  <c r="K593" i="1"/>
  <c r="I593" i="1"/>
  <c r="P593" i="1"/>
  <c r="K87" i="1"/>
  <c r="P87" i="1"/>
  <c r="I87" i="1"/>
  <c r="K171" i="1"/>
  <c r="P171" i="1"/>
  <c r="I171" i="1"/>
  <c r="K178" i="1"/>
  <c r="P178" i="1"/>
  <c r="I178" i="1"/>
  <c r="I186" i="1"/>
  <c r="P186" i="1"/>
  <c r="K186" i="1"/>
  <c r="K197" i="1"/>
  <c r="I197" i="1"/>
  <c r="P197" i="1"/>
  <c r="K203" i="1"/>
  <c r="I203" i="1"/>
  <c r="P203" i="1"/>
  <c r="K212" i="1"/>
  <c r="P212" i="1"/>
  <c r="I212" i="1"/>
  <c r="K88" i="1"/>
  <c r="P88" i="1"/>
  <c r="I88" i="1"/>
  <c r="K173" i="1"/>
  <c r="P173" i="1"/>
  <c r="I173" i="1"/>
  <c r="K183" i="1"/>
  <c r="I183" i="1"/>
  <c r="P183" i="1"/>
  <c r="Q183" i="1" s="1"/>
  <c r="K187" i="1"/>
  <c r="I187" i="1"/>
  <c r="P187" i="1"/>
  <c r="K200" i="1"/>
  <c r="I200" i="1"/>
  <c r="P200" i="1"/>
  <c r="K207" i="1"/>
  <c r="P207" i="1"/>
  <c r="I207" i="1"/>
  <c r="K215" i="1"/>
  <c r="P215" i="1"/>
  <c r="I215" i="1"/>
  <c r="K222" i="1"/>
  <c r="I222" i="1"/>
  <c r="P228" i="1"/>
  <c r="K228" i="1"/>
  <c r="I228" i="1"/>
  <c r="K239" i="1"/>
  <c r="I239" i="1"/>
  <c r="P239" i="1"/>
  <c r="K253" i="1"/>
  <c r="I253" i="1"/>
  <c r="P253" i="1"/>
  <c r="K479" i="1"/>
  <c r="I479" i="1"/>
  <c r="P479" i="1"/>
  <c r="K483" i="1"/>
  <c r="I483" i="1"/>
  <c r="P483" i="1"/>
  <c r="K488" i="1"/>
  <c r="I488" i="1"/>
  <c r="P488" i="1"/>
  <c r="K493" i="1"/>
  <c r="I493" i="1"/>
  <c r="P493" i="1"/>
  <c r="K499" i="1"/>
  <c r="I499" i="1"/>
  <c r="P499" i="1"/>
  <c r="K514" i="1"/>
  <c r="I514" i="1"/>
  <c r="P514" i="1"/>
  <c r="K518" i="1"/>
  <c r="I518" i="1"/>
  <c r="P518" i="1"/>
  <c r="K522" i="1"/>
  <c r="I522" i="1"/>
  <c r="P522" i="1"/>
  <c r="K530" i="1"/>
  <c r="I530" i="1"/>
  <c r="P530" i="1"/>
  <c r="I538" i="1"/>
  <c r="P538" i="1"/>
  <c r="K548" i="1"/>
  <c r="I548" i="1"/>
  <c r="P548" i="1"/>
  <c r="Q548" i="1" s="1"/>
  <c r="I557" i="1"/>
  <c r="K557" i="1"/>
  <c r="P557" i="1"/>
  <c r="I561" i="1"/>
  <c r="Q561" i="1" s="1"/>
  <c r="K561" i="1"/>
  <c r="P561" i="1"/>
  <c r="K567" i="1"/>
  <c r="I567" i="1"/>
  <c r="P567" i="1"/>
  <c r="K571" i="1"/>
  <c r="I571" i="1"/>
  <c r="P571" i="1"/>
  <c r="K579" i="1"/>
  <c r="I579" i="1"/>
  <c r="P579" i="1"/>
  <c r="I589" i="1"/>
  <c r="K589" i="1"/>
  <c r="P589" i="1"/>
  <c r="K599" i="1"/>
  <c r="P599" i="1"/>
  <c r="I599" i="1"/>
  <c r="K192" i="1"/>
  <c r="I192" i="1"/>
  <c r="P192" i="1"/>
  <c r="K225" i="1"/>
  <c r="I225" i="1"/>
  <c r="Q225" i="1" s="1"/>
  <c r="P225" i="1"/>
  <c r="I248" i="1"/>
  <c r="I433" i="1"/>
  <c r="P433" i="1"/>
  <c r="P248" i="1"/>
  <c r="K221" i="1"/>
  <c r="I221" i="1"/>
  <c r="I238" i="1"/>
  <c r="K238" i="1"/>
  <c r="K252" i="1"/>
  <c r="I252" i="1"/>
  <c r="Q252" i="1" s="1"/>
  <c r="K478" i="1"/>
  <c r="I478" i="1"/>
  <c r="Q478" i="1" s="1"/>
  <c r="K482" i="1"/>
  <c r="I482" i="1"/>
  <c r="K486" i="1"/>
  <c r="I486" i="1"/>
  <c r="Q486" i="1" s="1"/>
  <c r="K492" i="1"/>
  <c r="I492" i="1"/>
  <c r="K496" i="1"/>
  <c r="I496" i="1"/>
  <c r="K505" i="1"/>
  <c r="I505" i="1"/>
  <c r="K517" i="1"/>
  <c r="I517" i="1"/>
  <c r="K521" i="1"/>
  <c r="I521" i="1"/>
  <c r="Q521" i="1" s="1"/>
  <c r="K529" i="1"/>
  <c r="P529" i="1"/>
  <c r="I529" i="1"/>
  <c r="K537" i="1"/>
  <c r="I537" i="1"/>
  <c r="P537" i="1"/>
  <c r="P541" i="1"/>
  <c r="K556" i="1"/>
  <c r="I556" i="1"/>
  <c r="P556" i="1"/>
  <c r="K560" i="1"/>
  <c r="I560" i="1"/>
  <c r="Q560" i="1" s="1"/>
  <c r="P560" i="1"/>
  <c r="I564" i="1"/>
  <c r="K564" i="1"/>
  <c r="P564" i="1"/>
  <c r="I570" i="1"/>
  <c r="K570" i="1"/>
  <c r="P570" i="1"/>
  <c r="I578" i="1"/>
  <c r="K578" i="1"/>
  <c r="P578" i="1"/>
  <c r="K588" i="1"/>
  <c r="I588" i="1"/>
  <c r="P588" i="1"/>
  <c r="K596" i="1"/>
  <c r="P596" i="1"/>
  <c r="I596" i="1"/>
  <c r="P221" i="1"/>
  <c r="P220" i="1"/>
  <c r="I476" i="1"/>
  <c r="I167" i="1"/>
  <c r="P496" i="1"/>
  <c r="P167" i="1"/>
  <c r="P222" i="1"/>
  <c r="I227" i="1"/>
  <c r="P517" i="1"/>
  <c r="P238" i="1"/>
  <c r="K480" i="1"/>
  <c r="I480" i="1"/>
  <c r="Q480" i="1" s="1"/>
  <c r="K484" i="1"/>
  <c r="I484" i="1"/>
  <c r="Q484" i="1" s="1"/>
  <c r="K490" i="1"/>
  <c r="I490" i="1"/>
  <c r="Q490" i="1" s="1"/>
  <c r="K494" i="1"/>
  <c r="I494" i="1"/>
  <c r="Q494" i="1" s="1"/>
  <c r="K503" i="1"/>
  <c r="I503" i="1"/>
  <c r="K515" i="1"/>
  <c r="I515" i="1"/>
  <c r="Q515" i="1" s="1"/>
  <c r="K519" i="1"/>
  <c r="I519" i="1"/>
  <c r="Q519" i="1" s="1"/>
  <c r="K523" i="1"/>
  <c r="I523" i="1"/>
  <c r="K531" i="1"/>
  <c r="P531" i="1"/>
  <c r="I531" i="1"/>
  <c r="P539" i="1"/>
  <c r="K554" i="1"/>
  <c r="P554" i="1"/>
  <c r="I554" i="1"/>
  <c r="K558" i="1"/>
  <c r="I558" i="1"/>
  <c r="P558" i="1"/>
  <c r="K562" i="1"/>
  <c r="P562" i="1"/>
  <c r="I562" i="1"/>
  <c r="I568" i="1"/>
  <c r="K568" i="1"/>
  <c r="P568" i="1"/>
  <c r="I572" i="1"/>
  <c r="K572" i="1"/>
  <c r="P572" i="1"/>
  <c r="K584" i="1"/>
  <c r="I584" i="1"/>
  <c r="P584" i="1"/>
  <c r="K590" i="1"/>
  <c r="I590" i="1"/>
  <c r="P590" i="1"/>
  <c r="P218" i="1"/>
  <c r="P503" i="1"/>
  <c r="P523" i="1"/>
  <c r="P476" i="1"/>
  <c r="P505" i="1"/>
  <c r="P482" i="1"/>
  <c r="P492" i="1"/>
  <c r="P227" i="1"/>
  <c r="Q355" i="1"/>
  <c r="F69" i="1"/>
  <c r="F445" i="1"/>
  <c r="D44" i="2"/>
  <c r="C44" i="2"/>
  <c r="B743" i="1"/>
  <c r="B742" i="1"/>
  <c r="B741" i="1"/>
  <c r="F470" i="1"/>
  <c r="F469" i="1"/>
  <c r="F468" i="1"/>
  <c r="F467" i="1"/>
  <c r="F466" i="1"/>
  <c r="F459" i="1"/>
  <c r="F456" i="1"/>
  <c r="F455" i="1"/>
  <c r="F452" i="1"/>
  <c r="F449" i="1"/>
  <c r="F448" i="1"/>
  <c r="F438" i="1"/>
  <c r="F435" i="1"/>
  <c r="F434" i="1"/>
  <c r="F424" i="1"/>
  <c r="F419" i="1"/>
  <c r="F376" i="1"/>
  <c r="F375" i="1"/>
  <c r="F280" i="1"/>
  <c r="F279" i="1"/>
  <c r="F273" i="1"/>
  <c r="F271" i="1"/>
  <c r="F260" i="1"/>
  <c r="F247" i="1"/>
  <c r="F111" i="1"/>
  <c r="F70" i="1"/>
  <c r="F64" i="1"/>
  <c r="Q440" i="1" l="1"/>
  <c r="Q589" i="1"/>
  <c r="Q588" i="1"/>
  <c r="Q184" i="1"/>
  <c r="Q749" i="1"/>
  <c r="Q218" i="1"/>
  <c r="Q239" i="1"/>
  <c r="Q215" i="1"/>
  <c r="Q201" i="1"/>
  <c r="Q653" i="1"/>
  <c r="Q637" i="1"/>
  <c r="Q630" i="1"/>
  <c r="Q618" i="1"/>
  <c r="Q665" i="1"/>
  <c r="Q650" i="1"/>
  <c r="Q514" i="1"/>
  <c r="Q626" i="1"/>
  <c r="Q638" i="1"/>
  <c r="Q651" i="1"/>
  <c r="Q567" i="1"/>
  <c r="Q663" i="1"/>
  <c r="Q635" i="1"/>
  <c r="Q657" i="1"/>
  <c r="Q522" i="1"/>
  <c r="Q253" i="1"/>
  <c r="Q187" i="1"/>
  <c r="Q88" i="1"/>
  <c r="Q89" i="1"/>
  <c r="Q615" i="1"/>
  <c r="Q652" i="1"/>
  <c r="Q610" i="1"/>
  <c r="Q622" i="1"/>
  <c r="Q221" i="1"/>
  <c r="Q433" i="1"/>
  <c r="Q579" i="1"/>
  <c r="Q674" i="1"/>
  <c r="Q634" i="1"/>
  <c r="Q676" i="1"/>
  <c r="Q668" i="1"/>
  <c r="Q632" i="1"/>
  <c r="Q675" i="1"/>
  <c r="Q649" i="1"/>
  <c r="Q621" i="1"/>
  <c r="Q629" i="1"/>
  <c r="Q212" i="1"/>
  <c r="Q178" i="1"/>
  <c r="Q575" i="1"/>
  <c r="Q495" i="1"/>
  <c r="Q491" i="1"/>
  <c r="Q185" i="1"/>
  <c r="Q86" i="1"/>
  <c r="Q683" i="1"/>
  <c r="Q639" i="1"/>
  <c r="Q661" i="1"/>
  <c r="Q666" i="1"/>
  <c r="Q648" i="1"/>
  <c r="Q644" i="1"/>
  <c r="Q677" i="1"/>
  <c r="Q643" i="1"/>
  <c r="Q633" i="1"/>
  <c r="Q616" i="1"/>
  <c r="Q627" i="1"/>
  <c r="Q647" i="1"/>
  <c r="Q555" i="1"/>
  <c r="Q664" i="1"/>
  <c r="Q628" i="1"/>
  <c r="Q659" i="1"/>
  <c r="Q645" i="1"/>
  <c r="Q617" i="1"/>
  <c r="Q557" i="1"/>
  <c r="Q87" i="1"/>
  <c r="Q593" i="1"/>
  <c r="Q485" i="1"/>
  <c r="Q170" i="1"/>
  <c r="Q631" i="1"/>
  <c r="Q680" i="1"/>
  <c r="Q662" i="1"/>
  <c r="Q646" i="1"/>
  <c r="Q640" i="1"/>
  <c r="Q667" i="1"/>
  <c r="Q625" i="1"/>
  <c r="Q568" i="1"/>
  <c r="Q564" i="1"/>
  <c r="Q541" i="1"/>
  <c r="Q492" i="1"/>
  <c r="Q483" i="1"/>
  <c r="Q572" i="1"/>
  <c r="Q539" i="1"/>
  <c r="Q503" i="1"/>
  <c r="Q578" i="1"/>
  <c r="Q517" i="1"/>
  <c r="Q496" i="1"/>
  <c r="Q493" i="1"/>
  <c r="Q540" i="1"/>
  <c r="Q534" i="1"/>
  <c r="Q504" i="1"/>
  <c r="Q481" i="1"/>
  <c r="K279" i="1"/>
  <c r="P279" i="1"/>
  <c r="I279" i="1"/>
  <c r="Q220" i="1"/>
  <c r="K247" i="1"/>
  <c r="I247" i="1"/>
  <c r="P247" i="1"/>
  <c r="K438" i="1"/>
  <c r="I438" i="1"/>
  <c r="P438" i="1"/>
  <c r="K455" i="1"/>
  <c r="I455" i="1"/>
  <c r="P455" i="1"/>
  <c r="K467" i="1"/>
  <c r="P467" i="1"/>
  <c r="I467" i="1"/>
  <c r="Q505" i="1"/>
  <c r="Q482" i="1"/>
  <c r="K64" i="1"/>
  <c r="P64" i="1"/>
  <c r="I64" i="1"/>
  <c r="K260" i="1"/>
  <c r="P260" i="1"/>
  <c r="I260" i="1"/>
  <c r="K280" i="1"/>
  <c r="P280" i="1"/>
  <c r="I280" i="1"/>
  <c r="K424" i="1"/>
  <c r="I424" i="1"/>
  <c r="P424" i="1"/>
  <c r="F450" i="1"/>
  <c r="K448" i="1"/>
  <c r="P448" i="1"/>
  <c r="I448" i="1"/>
  <c r="K456" i="1"/>
  <c r="P456" i="1"/>
  <c r="I456" i="1"/>
  <c r="K468" i="1"/>
  <c r="I468" i="1"/>
  <c r="P468" i="1"/>
  <c r="K445" i="1"/>
  <c r="I445" i="1"/>
  <c r="P445" i="1"/>
  <c r="Q554" i="1"/>
  <c r="Q596" i="1"/>
  <c r="Q570" i="1"/>
  <c r="Q556" i="1"/>
  <c r="Q529" i="1"/>
  <c r="Q192" i="1"/>
  <c r="Q571" i="1"/>
  <c r="Q538" i="1"/>
  <c r="Q518" i="1"/>
  <c r="Q488" i="1"/>
  <c r="Q203" i="1"/>
  <c r="Q197" i="1"/>
  <c r="Q186" i="1"/>
  <c r="Q171" i="1"/>
  <c r="Q585" i="1"/>
  <c r="Q563" i="1"/>
  <c r="Q559" i="1"/>
  <c r="Q524" i="1"/>
  <c r="Q477" i="1"/>
  <c r="Q226" i="1"/>
  <c r="Q229" i="1"/>
  <c r="Q210" i="1"/>
  <c r="Q523" i="1"/>
  <c r="Q167" i="1"/>
  <c r="H746" i="1"/>
  <c r="E45" i="2" s="1"/>
  <c r="Q193" i="1"/>
  <c r="K419" i="1"/>
  <c r="P419" i="1"/>
  <c r="I419" i="1"/>
  <c r="K70" i="1"/>
  <c r="I70" i="1"/>
  <c r="P70" i="1"/>
  <c r="K271" i="1"/>
  <c r="P271" i="1"/>
  <c r="I271" i="1"/>
  <c r="K375" i="1"/>
  <c r="I375" i="1"/>
  <c r="P375" i="1"/>
  <c r="F437" i="1"/>
  <c r="K434" i="1"/>
  <c r="I434" i="1"/>
  <c r="P434" i="1"/>
  <c r="K449" i="1"/>
  <c r="I449" i="1"/>
  <c r="P449" i="1"/>
  <c r="K459" i="1"/>
  <c r="I459" i="1"/>
  <c r="P459" i="1"/>
  <c r="I469" i="1"/>
  <c r="K469" i="1"/>
  <c r="P469" i="1"/>
  <c r="K69" i="1"/>
  <c r="P69" i="1"/>
  <c r="I69" i="1"/>
  <c r="Q227" i="1"/>
  <c r="K111" i="1"/>
  <c r="P111" i="1"/>
  <c r="I111" i="1"/>
  <c r="K273" i="1"/>
  <c r="P273" i="1"/>
  <c r="I273" i="1"/>
  <c r="K376" i="1"/>
  <c r="I376" i="1"/>
  <c r="P376" i="1"/>
  <c r="K435" i="1"/>
  <c r="I435" i="1"/>
  <c r="P435" i="1"/>
  <c r="K452" i="1"/>
  <c r="I452" i="1"/>
  <c r="P452" i="1"/>
  <c r="K466" i="1"/>
  <c r="P466" i="1"/>
  <c r="I466" i="1"/>
  <c r="Q466" i="1" s="1"/>
  <c r="K470" i="1"/>
  <c r="P470" i="1"/>
  <c r="I470" i="1"/>
  <c r="Q590" i="1"/>
  <c r="Q584" i="1"/>
  <c r="Q562" i="1"/>
  <c r="Q558" i="1"/>
  <c r="Q531" i="1"/>
  <c r="Q222" i="1"/>
  <c r="Q476" i="1"/>
  <c r="Q537" i="1"/>
  <c r="Q238" i="1"/>
  <c r="Q248" i="1"/>
  <c r="Q599" i="1"/>
  <c r="Q530" i="1"/>
  <c r="Q499" i="1"/>
  <c r="Q479" i="1"/>
  <c r="Q228" i="1"/>
  <c r="Q207" i="1"/>
  <c r="Q200" i="1"/>
  <c r="Q173" i="1"/>
  <c r="Q569" i="1"/>
  <c r="Q520" i="1"/>
  <c r="Q516" i="1"/>
  <c r="Q249" i="1"/>
  <c r="Q235" i="1"/>
  <c r="Q211" i="1"/>
  <c r="Q202" i="1"/>
  <c r="Q177" i="1"/>
  <c r="O742" i="1"/>
  <c r="Q746" i="1"/>
  <c r="H742" i="1"/>
  <c r="F66" i="1"/>
  <c r="F65" i="1"/>
  <c r="F458" i="1"/>
  <c r="F457" i="1"/>
  <c r="F436" i="1"/>
  <c r="F441" i="1"/>
  <c r="F442" i="1"/>
  <c r="F451" i="1"/>
  <c r="F98" i="1"/>
  <c r="F97" i="1"/>
  <c r="F158" i="1"/>
  <c r="F157" i="1"/>
  <c r="F156" i="1"/>
  <c r="F134" i="1"/>
  <c r="F135" i="1"/>
  <c r="F131" i="1"/>
  <c r="F130" i="1"/>
  <c r="F129" i="1"/>
  <c r="F128" i="1"/>
  <c r="F127" i="1"/>
  <c r="F126" i="1"/>
  <c r="F125" i="1"/>
  <c r="F124" i="1"/>
  <c r="F122" i="1"/>
  <c r="F119" i="1"/>
  <c r="F118" i="1"/>
  <c r="F117" i="1"/>
  <c r="F698" i="1"/>
  <c r="F695" i="1"/>
  <c r="F692" i="1"/>
  <c r="F59" i="1"/>
  <c r="F52" i="1"/>
  <c r="F56" i="1"/>
  <c r="F55" i="1"/>
  <c r="F717" i="1"/>
  <c r="F716" i="1"/>
  <c r="F713" i="1"/>
  <c r="F707" i="1"/>
  <c r="Q247" i="1" l="1"/>
  <c r="K717" i="1"/>
  <c r="I717" i="1"/>
  <c r="P717" i="1"/>
  <c r="Q717" i="1" s="1"/>
  <c r="K692" i="1"/>
  <c r="I692" i="1"/>
  <c r="K707" i="1"/>
  <c r="I707" i="1"/>
  <c r="Q707" i="1" s="1"/>
  <c r="P707" i="1"/>
  <c r="I713" i="1"/>
  <c r="K713" i="1"/>
  <c r="P713" i="1"/>
  <c r="K695" i="1"/>
  <c r="I695" i="1"/>
  <c r="I716" i="1"/>
  <c r="Q716" i="1" s="1"/>
  <c r="K716" i="1"/>
  <c r="P716" i="1"/>
  <c r="K698" i="1"/>
  <c r="I698" i="1"/>
  <c r="Q273" i="1"/>
  <c r="Q419" i="1"/>
  <c r="Q467" i="1"/>
  <c r="Q452" i="1"/>
  <c r="Q434" i="1"/>
  <c r="Q375" i="1"/>
  <c r="Q455" i="1"/>
  <c r="Q376" i="1"/>
  <c r="Q459" i="1"/>
  <c r="Q271" i="1"/>
  <c r="Q70" i="1"/>
  <c r="Q468" i="1"/>
  <c r="Q280" i="1"/>
  <c r="Q456" i="1"/>
  <c r="Q424" i="1"/>
  <c r="Q64" i="1"/>
  <c r="P692" i="1"/>
  <c r="K125" i="1"/>
  <c r="I125" i="1"/>
  <c r="P125" i="1"/>
  <c r="K97" i="1"/>
  <c r="I97" i="1"/>
  <c r="P97" i="1"/>
  <c r="K441" i="1"/>
  <c r="I441" i="1"/>
  <c r="P441" i="1"/>
  <c r="K437" i="1"/>
  <c r="P437" i="1"/>
  <c r="I437" i="1"/>
  <c r="K450" i="1"/>
  <c r="P450" i="1"/>
  <c r="I450" i="1"/>
  <c r="K56" i="1"/>
  <c r="P56" i="1"/>
  <c r="I56" i="1"/>
  <c r="Q56" i="1" s="1"/>
  <c r="P695" i="1"/>
  <c r="K119" i="1"/>
  <c r="P119" i="1"/>
  <c r="I119" i="1"/>
  <c r="K126" i="1"/>
  <c r="I126" i="1"/>
  <c r="P126" i="1"/>
  <c r="K130" i="1"/>
  <c r="I130" i="1"/>
  <c r="P130" i="1"/>
  <c r="K156" i="1"/>
  <c r="I156" i="1"/>
  <c r="Q156" i="1" s="1"/>
  <c r="P156" i="1"/>
  <c r="K98" i="1"/>
  <c r="P98" i="1"/>
  <c r="I98" i="1"/>
  <c r="Q98" i="1" s="1"/>
  <c r="K436" i="1"/>
  <c r="I436" i="1"/>
  <c r="P436" i="1"/>
  <c r="K66" i="1"/>
  <c r="P66" i="1"/>
  <c r="I66" i="1"/>
  <c r="Q435" i="1"/>
  <c r="Q111" i="1"/>
  <c r="Q69" i="1"/>
  <c r="Q445" i="1"/>
  <c r="Q448" i="1"/>
  <c r="Q279" i="1"/>
  <c r="K55" i="1"/>
  <c r="I55" i="1"/>
  <c r="P55" i="1"/>
  <c r="K129" i="1"/>
  <c r="P129" i="1"/>
  <c r="I129" i="1"/>
  <c r="K52" i="1"/>
  <c r="P52" i="1"/>
  <c r="I52" i="1"/>
  <c r="K451" i="1"/>
  <c r="I451" i="1"/>
  <c r="P451" i="1"/>
  <c r="Q451" i="1" s="1"/>
  <c r="Q469" i="1"/>
  <c r="K118" i="1"/>
  <c r="I118" i="1"/>
  <c r="P118" i="1"/>
  <c r="K134" i="1"/>
  <c r="P134" i="1"/>
  <c r="I134" i="1"/>
  <c r="Q134" i="1" s="1"/>
  <c r="K65" i="1"/>
  <c r="I65" i="1"/>
  <c r="P65" i="1"/>
  <c r="P698" i="1"/>
  <c r="K122" i="1"/>
  <c r="I122" i="1"/>
  <c r="P122" i="1"/>
  <c r="K127" i="1"/>
  <c r="I127" i="1"/>
  <c r="P127" i="1"/>
  <c r="K131" i="1"/>
  <c r="I131" i="1"/>
  <c r="P131" i="1"/>
  <c r="K157" i="1"/>
  <c r="I157" i="1"/>
  <c r="P157" i="1"/>
  <c r="K457" i="1"/>
  <c r="I457" i="1"/>
  <c r="P457" i="1"/>
  <c r="K59" i="1"/>
  <c r="P59" i="1"/>
  <c r="I59" i="1"/>
  <c r="K117" i="1"/>
  <c r="P117" i="1"/>
  <c r="I117" i="1"/>
  <c r="K124" i="1"/>
  <c r="P124" i="1"/>
  <c r="I124" i="1"/>
  <c r="K128" i="1"/>
  <c r="P128" i="1"/>
  <c r="I128" i="1"/>
  <c r="K135" i="1"/>
  <c r="P135" i="1"/>
  <c r="I135" i="1"/>
  <c r="K158" i="1"/>
  <c r="I158" i="1"/>
  <c r="P158" i="1"/>
  <c r="K442" i="1"/>
  <c r="P442" i="1"/>
  <c r="I442" i="1"/>
  <c r="Q442" i="1" s="1"/>
  <c r="K458" i="1"/>
  <c r="P458" i="1"/>
  <c r="I458" i="1"/>
  <c r="Q470" i="1"/>
  <c r="Q449" i="1"/>
  <c r="Q260" i="1"/>
  <c r="Q438" i="1"/>
  <c r="Q742" i="1"/>
  <c r="F443" i="1"/>
  <c r="F444" i="1"/>
  <c r="B42" i="2"/>
  <c r="B43" i="2"/>
  <c r="C38" i="2"/>
  <c r="B46" i="2"/>
  <c r="D22" i="2"/>
  <c r="B23" i="1"/>
  <c r="B753" i="1"/>
  <c r="Q65" i="1" l="1"/>
  <c r="Q127" i="1"/>
  <c r="Q119" i="1"/>
  <c r="Q713" i="1"/>
  <c r="Q124" i="1"/>
  <c r="Q158" i="1"/>
  <c r="Q118" i="1"/>
  <c r="Q97" i="1"/>
  <c r="Q157" i="1"/>
  <c r="Q129" i="1"/>
  <c r="Q55" i="1"/>
  <c r="Q66" i="1"/>
  <c r="Q436" i="1"/>
  <c r="Q135" i="1"/>
  <c r="Q59" i="1"/>
  <c r="Q450" i="1"/>
  <c r="Q437" i="1"/>
  <c r="Q458" i="1"/>
  <c r="Q128" i="1"/>
  <c r="Q457" i="1"/>
  <c r="Q122" i="1"/>
  <c r="Q52" i="1"/>
  <c r="Q130" i="1"/>
  <c r="Q695" i="1"/>
  <c r="Q441" i="1"/>
  <c r="Q692" i="1"/>
  <c r="K444" i="1"/>
  <c r="I444" i="1"/>
  <c r="P444" i="1"/>
  <c r="K443" i="1"/>
  <c r="P443" i="1"/>
  <c r="I443" i="1"/>
  <c r="Q443" i="1" s="1"/>
  <c r="Q117" i="1"/>
  <c r="Q131" i="1"/>
  <c r="Q698" i="1"/>
  <c r="Q126" i="1"/>
  <c r="Q125" i="1"/>
  <c r="I746" i="1"/>
  <c r="P746" i="1"/>
  <c r="B28" i="1"/>
  <c r="Q444" i="1" l="1"/>
  <c r="P742" i="1"/>
  <c r="F44" i="2"/>
  <c r="I742" i="1"/>
  <c r="E44" i="2"/>
  <c r="R746" i="1"/>
  <c r="G45" i="2" s="1"/>
  <c r="B29" i="1"/>
  <c r="R742" i="1" l="1"/>
  <c r="G44" i="2" s="1"/>
  <c r="B30" i="1"/>
  <c r="C32" i="2"/>
  <c r="D32" i="2"/>
  <c r="C27" i="2"/>
  <c r="D27" i="2"/>
  <c r="E15" i="2"/>
  <c r="E14" i="2"/>
  <c r="B33" i="1" l="1"/>
  <c r="H83" i="1"/>
  <c r="I83" i="1" s="1"/>
  <c r="O241" i="1"/>
  <c r="P241" i="1" s="1"/>
  <c r="O511" i="1"/>
  <c r="P511" i="1" s="1"/>
  <c r="O550" i="1"/>
  <c r="P550" i="1" s="1"/>
  <c r="H310" i="1"/>
  <c r="I310" i="1" s="1"/>
  <c r="O473" i="1"/>
  <c r="P473" i="1" s="1"/>
  <c r="H689" i="1"/>
  <c r="I689" i="1" s="1"/>
  <c r="P731" i="1"/>
  <c r="H42" i="1"/>
  <c r="I42" i="1" s="1"/>
  <c r="O83" i="1"/>
  <c r="P83" i="1" s="1"/>
  <c r="H241" i="1"/>
  <c r="I241" i="1" s="1"/>
  <c r="H473" i="1"/>
  <c r="I473" i="1" s="1"/>
  <c r="H550" i="1"/>
  <c r="I550" i="1" s="1"/>
  <c r="O612" i="1"/>
  <c r="P612" i="1" s="1"/>
  <c r="O61" i="1"/>
  <c r="P61" i="1" s="1"/>
  <c r="H103" i="1"/>
  <c r="I103" i="1" s="1"/>
  <c r="H368" i="1"/>
  <c r="I368" i="1" s="1"/>
  <c r="O526" i="1"/>
  <c r="P526" i="1" s="1"/>
  <c r="H612" i="1"/>
  <c r="I612" i="1" s="1"/>
  <c r="O689" i="1"/>
  <c r="P689" i="1" s="1"/>
  <c r="H700" i="1"/>
  <c r="I700" i="1" s="1"/>
  <c r="O25" i="1"/>
  <c r="P25" i="1" s="1"/>
  <c r="H545" i="1"/>
  <c r="I545" i="1" s="1"/>
  <c r="O103" i="1"/>
  <c r="P103" i="1" s="1"/>
  <c r="O310" i="1"/>
  <c r="P310" i="1" s="1"/>
  <c r="O368" i="1"/>
  <c r="P368" i="1" s="1"/>
  <c r="H511" i="1"/>
  <c r="I511" i="1" s="1"/>
  <c r="H526" i="1"/>
  <c r="I526" i="1" s="1"/>
  <c r="H604" i="1"/>
  <c r="I604" i="1" s="1"/>
  <c r="O700" i="1"/>
  <c r="P700" i="1" s="1"/>
  <c r="O42" i="1"/>
  <c r="P42" i="1" s="1"/>
  <c r="O545" i="1"/>
  <c r="P545" i="1" s="1"/>
  <c r="I731" i="1"/>
  <c r="O604" i="1"/>
  <c r="P604" i="1" s="1"/>
  <c r="H25" i="1"/>
  <c r="I25" i="1" s="1"/>
  <c r="H61" i="1"/>
  <c r="I61" i="1" s="1"/>
  <c r="D16" i="2"/>
  <c r="B15" i="2"/>
  <c r="D38" i="2"/>
  <c r="D37" i="2"/>
  <c r="D36" i="2"/>
  <c r="D35" i="2"/>
  <c r="D34" i="2"/>
  <c r="D33" i="2"/>
  <c r="D31" i="2"/>
  <c r="D30" i="2"/>
  <c r="D29" i="2"/>
  <c r="D28" i="2"/>
  <c r="D26" i="2"/>
  <c r="D25" i="2"/>
  <c r="D24" i="2"/>
  <c r="D23" i="2"/>
  <c r="D21" i="2"/>
  <c r="C23" i="2"/>
  <c r="C24" i="2"/>
  <c r="C25" i="2"/>
  <c r="C26" i="2"/>
  <c r="C28" i="2"/>
  <c r="C29" i="2"/>
  <c r="C30" i="2"/>
  <c r="C31" i="2"/>
  <c r="C33" i="2"/>
  <c r="C34" i="2"/>
  <c r="C35" i="2"/>
  <c r="C36" i="2"/>
  <c r="C37" i="2"/>
  <c r="C22" i="2"/>
  <c r="C21" i="2"/>
  <c r="C20" i="2"/>
  <c r="B36" i="1" l="1"/>
  <c r="Q83" i="1"/>
  <c r="Q241" i="1"/>
  <c r="Q473" i="1"/>
  <c r="Q550" i="1"/>
  <c r="Q604" i="1"/>
  <c r="Q689" i="1"/>
  <c r="Q545" i="1"/>
  <c r="Q526" i="1"/>
  <c r="Q42" i="1"/>
  <c r="Q103" i="1"/>
  <c r="Q368" i="1"/>
  <c r="Q612" i="1"/>
  <c r="Q25" i="1"/>
  <c r="R25" i="1" s="1"/>
  <c r="Q511" i="1"/>
  <c r="Q310" i="1"/>
  <c r="Q700" i="1"/>
  <c r="Q61" i="1"/>
  <c r="B37" i="1" l="1"/>
  <c r="B38" i="1" s="1"/>
  <c r="B39" i="1" s="1"/>
  <c r="B40" i="1" s="1"/>
  <c r="E22" i="2"/>
  <c r="F22" i="2"/>
  <c r="B45" i="1" l="1"/>
  <c r="B46" i="1" s="1"/>
  <c r="B49" i="1" s="1"/>
  <c r="B52" i="1" s="1"/>
  <c r="B55" i="1" s="1"/>
  <c r="R42" i="1"/>
  <c r="G22" i="2" s="1"/>
  <c r="R61" i="1"/>
  <c r="G23" i="2" s="1"/>
  <c r="E23" i="2"/>
  <c r="F23" i="2"/>
  <c r="B56" i="1" l="1"/>
  <c r="B59" i="1" s="1"/>
  <c r="B64" i="1" s="1"/>
  <c r="B65" i="1" s="1"/>
  <c r="B66" i="1" s="1"/>
  <c r="B68" i="1" s="1"/>
  <c r="B69" i="1" s="1"/>
  <c r="B70" i="1" s="1"/>
  <c r="B75" i="1" s="1"/>
  <c r="B78" i="1" s="1"/>
  <c r="B81" i="1" s="1"/>
  <c r="B86" i="1" s="1"/>
  <c r="B87" i="1" s="1"/>
  <c r="B88" i="1" s="1"/>
  <c r="B89" i="1" s="1"/>
  <c r="B92" i="1" s="1"/>
  <c r="B93" i="1" s="1"/>
  <c r="B94" i="1" s="1"/>
  <c r="B97" i="1" s="1"/>
  <c r="B98" i="1" s="1"/>
  <c r="B101" i="1" s="1"/>
  <c r="B108" i="1" s="1"/>
  <c r="B111" i="1" s="1"/>
  <c r="B114" i="1" s="1"/>
  <c r="B117" i="1" s="1"/>
  <c r="B118" i="1" s="1"/>
  <c r="B119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4" i="1" s="1"/>
  <c r="B135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6" i="1" s="1"/>
  <c r="B157" i="1" s="1"/>
  <c r="B158" i="1" s="1"/>
  <c r="B161" i="1" s="1"/>
  <c r="B164" i="1" s="1"/>
  <c r="B165" i="1" s="1"/>
  <c r="B166" i="1" s="1"/>
  <c r="B167" i="1" s="1"/>
  <c r="B170" i="1" s="1"/>
  <c r="B171" i="1" s="1"/>
  <c r="B172" i="1" s="1"/>
  <c r="B173" i="1" s="1"/>
  <c r="B174" i="1" s="1"/>
  <c r="B177" i="1" s="1"/>
  <c r="B178" i="1" s="1"/>
  <c r="B183" i="1" s="1"/>
  <c r="B184" i="1" s="1"/>
  <c r="B185" i="1" s="1"/>
  <c r="B186" i="1" s="1"/>
  <c r="B187" i="1" s="1"/>
  <c r="B188" i="1" s="1"/>
  <c r="B189" i="1" s="1"/>
  <c r="B192" i="1" s="1"/>
  <c r="B193" i="1" s="1"/>
  <c r="B194" i="1" s="1"/>
  <c r="B197" i="1" s="1"/>
  <c r="B200" i="1" s="1"/>
  <c r="B201" i="1" s="1"/>
  <c r="B202" i="1" s="1"/>
  <c r="B203" i="1" s="1"/>
  <c r="B204" i="1" s="1"/>
  <c r="B207" i="1" s="1"/>
  <c r="B210" i="1" s="1"/>
  <c r="B211" i="1" s="1"/>
  <c r="B212" i="1" s="1"/>
  <c r="B215" i="1" s="1"/>
  <c r="B218" i="1" s="1"/>
  <c r="B219" i="1" s="1"/>
  <c r="B220" i="1" s="1"/>
  <c r="B221" i="1" s="1"/>
  <c r="B222" i="1" s="1"/>
  <c r="B225" i="1" s="1"/>
  <c r="B226" i="1" s="1"/>
  <c r="B227" i="1" s="1"/>
  <c r="B228" i="1" s="1"/>
  <c r="B229" i="1" s="1"/>
  <c r="B232" i="1" s="1"/>
  <c r="B235" i="1" s="1"/>
  <c r="B238" i="1" s="1"/>
  <c r="B239" i="1" s="1"/>
  <c r="B244" i="1" s="1"/>
  <c r="B247" i="1" s="1"/>
  <c r="B248" i="1" s="1"/>
  <c r="B249" i="1" s="1"/>
  <c r="B252" i="1" s="1"/>
  <c r="B253" i="1" s="1"/>
  <c r="B256" i="1" s="1"/>
  <c r="B257" i="1" s="1"/>
  <c r="B258" i="1" s="1"/>
  <c r="B259" i="1" s="1"/>
  <c r="B260" i="1" s="1"/>
  <c r="E27" i="2"/>
  <c r="E32" i="2"/>
  <c r="B261" i="1" l="1"/>
  <c r="F36" i="2"/>
  <c r="E35" i="2"/>
  <c r="F33" i="2"/>
  <c r="F28" i="2"/>
  <c r="F25" i="2"/>
  <c r="E24" i="2"/>
  <c r="E21" i="2"/>
  <c r="F29" i="2"/>
  <c r="F32" i="2"/>
  <c r="E28" i="2"/>
  <c r="F27" i="2"/>
  <c r="E25" i="2"/>
  <c r="F24" i="2"/>
  <c r="F21" i="2"/>
  <c r="E38" i="2"/>
  <c r="F30" i="2"/>
  <c r="E26" i="2"/>
  <c r="F31" i="2"/>
  <c r="E29" i="2"/>
  <c r="R103" i="1"/>
  <c r="G25" i="2" s="1"/>
  <c r="R526" i="1"/>
  <c r="G31" i="2" s="1"/>
  <c r="R368" i="1"/>
  <c r="G28" i="2" s="1"/>
  <c r="R473" i="1"/>
  <c r="G29" i="2" s="1"/>
  <c r="G21" i="2"/>
  <c r="R83" i="1"/>
  <c r="G24" i="2" s="1"/>
  <c r="B264" i="1" l="1"/>
  <c r="B267" i="1" s="1"/>
  <c r="B268" i="1" s="1"/>
  <c r="B271" i="1" s="1"/>
  <c r="B272" i="1" s="1"/>
  <c r="B273" i="1" s="1"/>
  <c r="B276" i="1" s="1"/>
  <c r="B279" i="1" s="1"/>
  <c r="B280" i="1" s="1"/>
  <c r="B283" i="1" s="1"/>
  <c r="B284" i="1" s="1"/>
  <c r="B287" i="1" s="1"/>
  <c r="B288" i="1" s="1"/>
  <c r="B289" i="1" s="1"/>
  <c r="B292" i="1" s="1"/>
  <c r="B295" i="1" s="1"/>
  <c r="B298" i="1" s="1"/>
  <c r="B301" i="1" s="1"/>
  <c r="B302" i="1" s="1"/>
  <c r="B303" i="1" s="1"/>
  <c r="B304" i="1" s="1"/>
  <c r="B305" i="1" s="1"/>
  <c r="B308" i="1" s="1"/>
  <c r="B315" i="1" s="1"/>
  <c r="B316" i="1" s="1"/>
  <c r="B317" i="1" s="1"/>
  <c r="B318" i="1" s="1"/>
  <c r="B319" i="1" s="1"/>
  <c r="B320" i="1" s="1"/>
  <c r="B321" i="1" s="1"/>
  <c r="B322" i="1" s="1"/>
  <c r="B323" i="1" s="1"/>
  <c r="R550" i="1"/>
  <c r="G33" i="2" s="1"/>
  <c r="R604" i="1"/>
  <c r="G34" i="2" s="1"/>
  <c r="F37" i="2"/>
  <c r="R310" i="1"/>
  <c r="G27" i="2" s="1"/>
  <c r="F34" i="2"/>
  <c r="R731" i="1"/>
  <c r="G38" i="2" s="1"/>
  <c r="F26" i="2"/>
  <c r="E36" i="2"/>
  <c r="E37" i="2"/>
  <c r="E33" i="2"/>
  <c r="E30" i="2"/>
  <c r="R511" i="1"/>
  <c r="G30" i="2" s="1"/>
  <c r="E31" i="2"/>
  <c r="F38" i="2"/>
  <c r="R700" i="1"/>
  <c r="G37" i="2" s="1"/>
  <c r="R241" i="1"/>
  <c r="G26" i="2" s="1"/>
  <c r="R545" i="1"/>
  <c r="G32" i="2" s="1"/>
  <c r="R689" i="1"/>
  <c r="G36" i="2" s="1"/>
  <c r="R612" i="1"/>
  <c r="G35" i="2" s="1"/>
  <c r="E34" i="2"/>
  <c r="F35" i="2"/>
  <c r="N22" i="1"/>
  <c r="O22" i="1" s="1"/>
  <c r="P22" i="1" s="1"/>
  <c r="K22" i="1"/>
  <c r="R14" i="1" s="1"/>
  <c r="H22" i="1"/>
  <c r="I22" i="1" s="1"/>
  <c r="R5" i="1" s="1"/>
  <c r="O21" i="1" l="1"/>
  <c r="F20" i="2" s="1"/>
  <c r="R6" i="1"/>
  <c r="R9" i="1" s="1"/>
  <c r="B324" i="1"/>
  <c r="B327" i="1" s="1"/>
  <c r="B328" i="1" s="1"/>
  <c r="B329" i="1" s="1"/>
  <c r="B330" i="1" s="1"/>
  <c r="B331" i="1" s="1"/>
  <c r="B332" i="1" s="1"/>
  <c r="B333" i="1" s="1"/>
  <c r="B334" i="1" s="1"/>
  <c r="B337" i="1" s="1"/>
  <c r="B340" i="1" s="1"/>
  <c r="B343" i="1" s="1"/>
  <c r="P21" i="1"/>
  <c r="H21" i="1"/>
  <c r="E20" i="2" s="1"/>
  <c r="Q22" i="1"/>
  <c r="Q21" i="1" s="1"/>
  <c r="B346" i="1" l="1"/>
  <c r="B347" i="1" s="1"/>
  <c r="B348" i="1" s="1"/>
  <c r="B349" i="1" s="1"/>
  <c r="B350" i="1" s="1"/>
  <c r="R21" i="1"/>
  <c r="G20" i="2" s="1"/>
  <c r="I21" i="1"/>
  <c r="R7" i="1"/>
  <c r="R12" i="1" l="1"/>
  <c r="B353" i="1"/>
  <c r="B354" i="1" s="1"/>
  <c r="B355" i="1" s="1"/>
  <c r="B356" i="1" s="1"/>
  <c r="B357" i="1" s="1"/>
  <c r="B358" i="1" s="1"/>
  <c r="B359" i="1" s="1"/>
  <c r="B360" i="1" s="1"/>
  <c r="B361" i="1" s="1"/>
  <c r="B362" i="1" s="1"/>
  <c r="B365" i="1" s="1"/>
  <c r="B366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7" i="1" s="1"/>
  <c r="B388" i="1" s="1"/>
  <c r="B389" i="1" s="1"/>
  <c r="B390" i="1" s="1"/>
  <c r="B393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9" i="1" s="1"/>
  <c r="B410" i="1" s="1"/>
  <c r="B411" i="1" s="1"/>
  <c r="B412" i="1" s="1"/>
  <c r="B413" i="1" s="1"/>
  <c r="B414" i="1" s="1"/>
  <c r="B415" i="1" s="1"/>
  <c r="B416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33" i="1" s="1"/>
  <c r="B434" i="1" s="1"/>
  <c r="B435" i="1" s="1"/>
  <c r="B436" i="1" s="1"/>
  <c r="B437" i="1" s="1"/>
  <c r="B438" i="1" s="1"/>
  <c r="B440" i="1" s="1"/>
  <c r="B441" i="1" s="1"/>
  <c r="B442" i="1" s="1"/>
  <c r="B443" i="1" s="1"/>
  <c r="B444" i="1" s="1"/>
  <c r="B445" i="1" s="1"/>
  <c r="B447" i="1" s="1"/>
  <c r="B448" i="1" s="1"/>
  <c r="B449" i="1" s="1"/>
  <c r="B450" i="1" s="1"/>
  <c r="B451" i="1" s="1"/>
  <c r="B452" i="1" s="1"/>
  <c r="B454" i="1" s="1"/>
  <c r="B455" i="1" s="1"/>
  <c r="B456" i="1" s="1"/>
  <c r="B457" i="1" s="1"/>
  <c r="B458" i="1" s="1"/>
  <c r="B459" i="1" s="1"/>
  <c r="B462" i="1" s="1"/>
  <c r="B463" i="1" s="1"/>
  <c r="B466" i="1" s="1"/>
  <c r="B467" i="1" s="1"/>
  <c r="B468" i="1" s="1"/>
  <c r="B469" i="1" s="1"/>
  <c r="B470" i="1" s="1"/>
  <c r="B471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9" i="1" s="1"/>
  <c r="B503" i="1" s="1"/>
  <c r="B504" i="1" s="1"/>
  <c r="B505" i="1" s="1"/>
  <c r="G40" i="2"/>
  <c r="B20" i="2"/>
  <c r="B21" i="1"/>
  <c r="B20" i="1"/>
  <c r="B508" i="1" l="1"/>
  <c r="B509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9" i="1" s="1"/>
  <c r="B530" i="1" s="1"/>
  <c r="B531" i="1" s="1"/>
  <c r="B534" i="1" s="1"/>
  <c r="B537" i="1" s="1"/>
  <c r="B538" i="1" s="1"/>
  <c r="B539" i="1" s="1"/>
  <c r="B540" i="1" s="1"/>
  <c r="B541" i="1" s="1"/>
  <c r="B542" i="1" s="1"/>
  <c r="B543" i="1" s="1"/>
  <c r="B548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7" i="1" s="1"/>
  <c r="B568" i="1" s="1"/>
  <c r="B569" i="1" s="1"/>
  <c r="B570" i="1" s="1"/>
  <c r="B571" i="1" s="1"/>
  <c r="B572" i="1" s="1"/>
  <c r="B575" i="1" s="1"/>
  <c r="B578" i="1" s="1"/>
  <c r="B579" i="1" s="1"/>
  <c r="B584" i="1" s="1"/>
  <c r="B585" i="1" s="1"/>
  <c r="B588" i="1" s="1"/>
  <c r="B589" i="1" s="1"/>
  <c r="B590" i="1" s="1"/>
  <c r="B593" i="1" s="1"/>
  <c r="B21" i="2"/>
  <c r="B22" i="2" s="1"/>
  <c r="R8" i="1"/>
  <c r="B596" i="1" l="1"/>
  <c r="B599" i="1" s="1"/>
  <c r="B602" i="1" s="1"/>
  <c r="B607" i="1" s="1"/>
  <c r="B23" i="2"/>
  <c r="R10" i="1"/>
  <c r="B610" i="1" l="1"/>
  <c r="B615" i="1" s="1"/>
  <c r="B616" i="1" s="1"/>
  <c r="B617" i="1" s="1"/>
  <c r="B618" i="1" s="1"/>
  <c r="B621" i="1" s="1"/>
  <c r="B622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71" i="1" s="1"/>
  <c r="B674" i="1" s="1"/>
  <c r="B675" i="1" s="1"/>
  <c r="B676" i="1" s="1"/>
  <c r="B677" i="1" s="1"/>
  <c r="B680" i="1" s="1"/>
  <c r="B683" i="1" s="1"/>
  <c r="B24" i="2"/>
  <c r="R11" i="1"/>
  <c r="B684" i="1" l="1"/>
  <c r="B687" i="1" s="1"/>
  <c r="B692" i="1" s="1"/>
  <c r="B25" i="2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44" i="2" s="1"/>
  <c r="B45" i="2" s="1"/>
  <c r="R13" i="1"/>
  <c r="B695" i="1" l="1"/>
  <c r="B698" i="1" s="1"/>
  <c r="B703" i="1" s="1"/>
  <c r="B706" i="1" s="1"/>
  <c r="B707" i="1" s="1"/>
  <c r="B710" i="1" s="1"/>
  <c r="B713" i="1" s="1"/>
  <c r="B716" i="1" s="1"/>
  <c r="B717" i="1" s="1"/>
  <c r="B720" i="1" s="1"/>
  <c r="B723" i="1" s="1"/>
  <c r="B726" i="1" s="1"/>
  <c r="B729" i="1" s="1"/>
  <c r="B734" i="1" s="1"/>
  <c r="B735" i="1" s="1"/>
  <c r="B736" i="1" l="1"/>
  <c r="B744" i="1" s="1"/>
  <c r="B749" i="1" s="1"/>
  <c r="B752" i="1" s="1"/>
</calcChain>
</file>

<file path=xl/sharedStrings.xml><?xml version="1.0" encoding="utf-8"?>
<sst xmlns="http://schemas.openxmlformats.org/spreadsheetml/2006/main" count="1632" uniqueCount="673">
  <si>
    <t>CONSTRUCTION COST ESTIMATE BREAKDOWN</t>
  </si>
  <si>
    <t>ITEM DESCRIPTION</t>
  </si>
  <si>
    <t>CONTRACTOR</t>
  </si>
  <si>
    <t>ADDRESS</t>
  </si>
  <si>
    <t>LINE
TOTAL</t>
  </si>
  <si>
    <t>LINE
NO.</t>
  </si>
  <si>
    <t>UNIT OF
MEASURE</t>
  </si>
  <si>
    <t>LABOR
HOURS</t>
  </si>
  <si>
    <t>GENERAL REQUIREMENTS</t>
  </si>
  <si>
    <t>EXISTING CONDITIONS</t>
  </si>
  <si>
    <t>CONCRETE</t>
  </si>
  <si>
    <t>MASONRY</t>
  </si>
  <si>
    <t>METALS</t>
  </si>
  <si>
    <t>WOOD, PLASTICS AND COMPOSITES</t>
  </si>
  <si>
    <t>THERMAL AND MOISTURE PROTECTION</t>
  </si>
  <si>
    <t>OPENINGS</t>
  </si>
  <si>
    <t>FINISHES</t>
  </si>
  <si>
    <t>TOTAL COST</t>
  </si>
  <si>
    <t>UNIT PRICE</t>
  </si>
  <si>
    <t>LABOR</t>
  </si>
  <si>
    <t>MATERIAL</t>
  </si>
  <si>
    <t xml:space="preserve">QUANTITY </t>
  </si>
  <si>
    <t>UNIT LABOR HOUR</t>
  </si>
  <si>
    <t>SPECIALTIES</t>
  </si>
  <si>
    <t>CONVEYING EQUIPMENT</t>
  </si>
  <si>
    <t>PLUMBING</t>
  </si>
  <si>
    <t>ELECTRICAL</t>
  </si>
  <si>
    <t>EARTHWORK</t>
  </si>
  <si>
    <t>EXTERIOR IMPROVEMENTS</t>
  </si>
  <si>
    <t>UTILITIES</t>
  </si>
  <si>
    <t>PROJECT LOCATION</t>
  </si>
  <si>
    <t>HEATING, VENTILATION AND AIR CONDITIONING (HVAC)</t>
  </si>
  <si>
    <t>TOTAL MATERIAL COST</t>
  </si>
  <si>
    <t>TOTAL LABOR COST</t>
  </si>
  <si>
    <t>SUBTOTAL</t>
  </si>
  <si>
    <t>SALES TAX</t>
  </si>
  <si>
    <t>LABOR BURDEN</t>
  </si>
  <si>
    <t>BONDING</t>
  </si>
  <si>
    <t xml:space="preserve">CONTINGENCY / WASTAGE </t>
  </si>
  <si>
    <t>PROPOSED PROJECT AMOUNT</t>
  </si>
  <si>
    <t>SCOPE OF WORK</t>
  </si>
  <si>
    <t>DATE</t>
  </si>
  <si>
    <t>OVERHEAD &amp; PROFIT</t>
  </si>
  <si>
    <t>TOTAL MANHOURS</t>
  </si>
  <si>
    <t>DIV. 01</t>
  </si>
  <si>
    <t>DIV. 02</t>
  </si>
  <si>
    <t>DIV. 03</t>
  </si>
  <si>
    <t>DIV. 04</t>
  </si>
  <si>
    <t>DIV. 05</t>
  </si>
  <si>
    <t>DIV. 06</t>
  </si>
  <si>
    <t>DIV. 07</t>
  </si>
  <si>
    <t>DIV. 08</t>
  </si>
  <si>
    <t>DIV. 09</t>
  </si>
  <si>
    <t>DIV. 10</t>
  </si>
  <si>
    <t>DIV. 11</t>
  </si>
  <si>
    <t>DIV. 12</t>
  </si>
  <si>
    <t>DIV. 14</t>
  </si>
  <si>
    <t>DIV. 22</t>
  </si>
  <si>
    <t>DIV. 23</t>
  </si>
  <si>
    <t>DIV. 26</t>
  </si>
  <si>
    <t>DIV. 31</t>
  </si>
  <si>
    <t>DIV. 32</t>
  </si>
  <si>
    <t>DIV. 33</t>
  </si>
  <si>
    <t>DWG REF./
CSI SEC.</t>
  </si>
  <si>
    <t>CREW</t>
  </si>
  <si>
    <t>LABOR RATE</t>
  </si>
  <si>
    <t>PROJECT NAME</t>
  </si>
  <si>
    <t>PERMITS, SITE SUPERVISION, FINAL CLEANUP &amp; DUMPSTER</t>
  </si>
  <si>
    <t>LS</t>
  </si>
  <si>
    <t>SUBTOTAL MATERIAL</t>
  </si>
  <si>
    <t>SUBTOTAL LABOR</t>
  </si>
  <si>
    <t>FURNISHINGS</t>
  </si>
  <si>
    <t>SUMMARY</t>
  </si>
  <si>
    <t>TOTAL PROJECT COST</t>
  </si>
  <si>
    <t>TRADE
TOTAL W/ S.TAX, O&amp;P</t>
  </si>
  <si>
    <t>CSI DIV.</t>
  </si>
  <si>
    <t>DESCRIPTION</t>
  </si>
  <si>
    <t>MATERIAL COST</t>
  </si>
  <si>
    <t>LABOR
COST</t>
  </si>
  <si>
    <t>TOTAL
COST</t>
  </si>
  <si>
    <t>LINE NO.</t>
  </si>
  <si>
    <t>WALLS</t>
  </si>
  <si>
    <t>SF</t>
  </si>
  <si>
    <t>GROUT PROVIDED FOR 8"THK. CMU WALL</t>
  </si>
  <si>
    <t>CY</t>
  </si>
  <si>
    <t>MORTAR PROVIDED FOR 8"THK. CMU WALL</t>
  </si>
  <si>
    <t>LF</t>
  </si>
  <si>
    <t>STUDS</t>
  </si>
  <si>
    <t>SEALANT</t>
  </si>
  <si>
    <t>CONTINUOUS SEALANT AT WALLS</t>
  </si>
  <si>
    <t>EA</t>
  </si>
  <si>
    <t>DOORS</t>
  </si>
  <si>
    <t>EXTERIOR DOOR</t>
  </si>
  <si>
    <t>FLOORING</t>
  </si>
  <si>
    <t>LBS</t>
  </si>
  <si>
    <t>TOILET ACCESSORIES</t>
  </si>
  <si>
    <t>COUNTERTOP</t>
  </si>
  <si>
    <t>ELEVATOR SYSTEM</t>
  </si>
  <si>
    <t>PLUMBING FIXTURES</t>
  </si>
  <si>
    <t>LIGHTING FIXTURES</t>
  </si>
  <si>
    <t>DUCT WORK</t>
  </si>
  <si>
    <t>EXCAVATION</t>
  </si>
  <si>
    <t>EXCAVATION PROVIDED FOR FOOTING</t>
  </si>
  <si>
    <t>BACKFILL</t>
  </si>
  <si>
    <t>BACKFILL PROVIDED FOR FOOTING</t>
  </si>
  <si>
    <t>HAULOFF/IMPORT</t>
  </si>
  <si>
    <t>HAULING OFF EXTRA MATERIAL</t>
  </si>
  <si>
    <t>FOOTING</t>
  </si>
  <si>
    <t>FORMWORK</t>
  </si>
  <si>
    <t>FORMWORK REQUIRED</t>
  </si>
  <si>
    <t>SLAB ON GRADE</t>
  </si>
  <si>
    <t>DEMOLITION</t>
  </si>
  <si>
    <t>ALTERATIONS &amp; ADDITIONS TO 910 EASTERN AVE. BALTIMORE, MD 21202.</t>
  </si>
  <si>
    <t>910 EASTERN AVE. BALTIMORE, MD 21202.</t>
  </si>
  <si>
    <t>COMPLETE SCOPE OF WORK.</t>
  </si>
  <si>
    <t>GROSS AREA: 3882 SF</t>
  </si>
  <si>
    <t>MISC.</t>
  </si>
  <si>
    <t>CONNECT SUMP PUMP DISCHARGE TO DOWNSPOUT</t>
  </si>
  <si>
    <t>CAP EXISTING STORM DRAIN</t>
  </si>
  <si>
    <t xml:space="preserve">SNAKE'' EXISTING STORM DRAIN AND PROVIDE NEW DRAIN COVER </t>
  </si>
  <si>
    <t>REMOVE EXISTING SHED</t>
  </si>
  <si>
    <t>REPAIR</t>
  </si>
  <si>
    <t>REPAIR EXISTING BRICK WALL AS REQUIRED
NOTE: SCRAPE, PRIME &amp; PAINT AS REQUIRED</t>
  </si>
  <si>
    <t>NEW 6'-0''H TREATED SHADOW BOX FENCE W/ 4X4 TREATED WOOD POSTS@ 8'-0'' O.C.</t>
  </si>
  <si>
    <t>12''DIA X 30''D CONCRETE FOOTING AT FENCE POSTS
NO: 3</t>
  </si>
  <si>
    <t>HAUL-OFF</t>
  </si>
  <si>
    <t>GATE</t>
  </si>
  <si>
    <t>3'-0''W NEW TREATED WOOD GATE LOCKABLE W/ 3 HINGES</t>
  </si>
  <si>
    <t>FENCING &amp; GATE</t>
  </si>
  <si>
    <t>PAVERS</t>
  </si>
  <si>
    <t>NEW PERMEABLE PAVERS OVER 2''THK CONCRETE LAYER OVER 4'' CRUSHED STONE BASE OVER COMPACTED SUBGRADE</t>
  </si>
  <si>
    <t>10''W X 8''D CONDUCTOR HEAD</t>
  </si>
  <si>
    <t>REMOVE EXISTING CONCRETE SLAB AND COMPACT SOIL PER GENERAL STRUCTURAL NOTES</t>
  </si>
  <si>
    <t>NEATLY FILL ALL VOIDS IN EXISTING CONCRETE SLAB</t>
  </si>
  <si>
    <t>SAWCUT EXISTING CONCRETE SIDEWALK 1/2'' FROM BRICK FOUNDATION WALL. 
PROVIDE SILICONE SEALANT AT GRADE AND 1/2'' EXPANSION JOINT MATERIAL BELOW</t>
  </si>
  <si>
    <t>EXISTING CONCRETE SLAB SHALL REMIAN. NEATLY SAWCUT CONCRETE FOR 4'' DRAIN TILE &amp; PATCH W/ NEW TO MATCH EXISTING
NOTE: NOTIFY ARCHITECT OF ANY EXISTING DETERIORATION OR CRACKS, CLEAN &amp; SEAL</t>
  </si>
  <si>
    <t>ALLOWANCE PROVIDED FOR MISC. DEMO WORK AS REQUIRED, VIF INCLUDING:
 SEAL, TERMINATE, AND CAP DEMOLISHED UTILITY LINES AT SERVICE ENTRY POINTS.
- SEAL BUILDING SEWER AND STACKS TO PREVENT ACCUMULATION OF DEBRIS CREATED BY DEMOLITION OPERATION.
- REMOVE ALL EXPOSED LATH FROM WALLS UNLESS OTHERWISE NOTED.
- REMOVE ALL LOOSE PLASTER FROM WALLS.
- REMOVE ALL CEILING FRAMING AND PLASTER/GWB.
- REMOVE NAILS EXPOSED BY DEMOLITION WORK ON WALLS, SUB FLOORS, JOISTS AND STUDS.
- REMOVE DEBRIS CREATED BY DEMOLITION OPERATION FROM FLOORS, BETWEEN JOISTS AND OTHER AREAS.
- REMOVE ALL EXISTING ROOFING MATERIALS, GUTTERS, DOWNSPOUTS.
- REMOVE ALL PLUMBING AND HEATING PIPES.
- REMOVE ALL ELECTRICAL WIRING, LIGHT FIXTURES, PANELS, ETC.
- REMOVE ALL EXTERIOR METAL WRAP AT WINDOWS AND DOORS
- REMOVE ALL STORM WINDOWS AND STORM DOORS.
- REMOVE EXISTING EXTERIOR VENTING LINES AND WIRES.
- REMOVE ALL FORMSTONE PER THE PLANS.
- REMOVE ALL INTERIOR FINISHING AS REQUIRED</t>
  </si>
  <si>
    <t>1/A301: ELEVATOR PIT SLAB AS: 
- 8''THK ELEVATOR CONCRETE MAT SLAB W/ #4 BARS@ 12'' O.C.E.W. 
- 4''THK CRUSHED STONE BASE 
- COMPACTED SUBGRADE</t>
  </si>
  <si>
    <t>CONCRETE SLAB ON GRADE AS: 
- 4''THK CONCRETE SLAB ON GRADE W/ 6X6-W2.0XW2.0 WWF 
- ECOSHIELD E8 SHEET MEMBRANE BY EPRO WATERPROOF SYSTEMS 
- 2'' RIGID INSULATION AT SLAB 
- 4'' CRUSHED STONE, 910 EASTERN AVE. ONLY</t>
  </si>
  <si>
    <t>JOINTS</t>
  </si>
  <si>
    <t>CONTROL JOINT</t>
  </si>
  <si>
    <t>1'-4''W X 1'-0''D CONCRETE FOOTING W/ 2#4 BARS</t>
  </si>
  <si>
    <t>1'-6''W X 1'-0''D CONCRETE FOOTING AT BEARING WALLS W/ 2#5 BARS</t>
  </si>
  <si>
    <t>10'' TO 12''THK X 8''D ELEVATOR PIT WALL W/ #4 BARS@ 12'' O.C.E.W.</t>
  </si>
  <si>
    <t>DRAIN TILE</t>
  </si>
  <si>
    <t>4'' PERIMETER DRAIN TILE WRAPPED IN CRUSHED STONES W/ FILTER FABRIC W/ SLOPE TO SUMP</t>
  </si>
  <si>
    <t>8''THK X 24''D CMU STEM WALL W/ HORIZONTAL REINF.@ 16'' O.C.</t>
  </si>
  <si>
    <t>FILL EXISTING AREAWAY W/ COMPRESSED SOIL OR GEOFOAM</t>
  </si>
  <si>
    <t>POSTS</t>
  </si>
  <si>
    <t>(2)2X4 POSTS
NO. OF POSTS@ 4'-6''HT: 6
NO. OF POSTS@ 8'-4''HT: 3
NO. OF POSTS@ 8'-6''HT: 3</t>
  </si>
  <si>
    <t>(3)2X4 POSTS
NO. OF POSTS@ 8'-4''HT: 2
NO. OF POSTS@ 8'-6''HT: 2</t>
  </si>
  <si>
    <t>4X4 POSTS
NO. OF POSTS@ 4'-6''HT: 5
NO. OF POSTS@ 8'-4''HT: 4
NO. OF POSTS@ 8'-6''HT: 6
NO. OF POSTS@ 10'-4''HT: 1</t>
  </si>
  <si>
    <t>JOISTS</t>
  </si>
  <si>
    <t>2X4 CEILING JOISTS@ 16'' O.C.</t>
  </si>
  <si>
    <t>5/4''X6'' CEDAR DECKING</t>
  </si>
  <si>
    <t>SHEATHING</t>
  </si>
  <si>
    <t>7-1/4'' LVL FLOOR JOISTS@ 24'' O.C.</t>
  </si>
  <si>
    <t xml:space="preserve">2X10 P.T. JOISTS/SLLEPERS@ 16'' O.C. </t>
  </si>
  <si>
    <t xml:space="preserve">2X10 FLOOR JOISTS@ 16'' O.C. </t>
  </si>
  <si>
    <t xml:space="preserve">2X8 POCKET OR LEDGER JOISTS@ 16'' O.C. </t>
  </si>
  <si>
    <t xml:space="preserve">2X10 FLOOR JOISTS@ 12'' O.C. </t>
  </si>
  <si>
    <t>2X8 FLOOR JOISTS@ 16'' O.C.</t>
  </si>
  <si>
    <t>(2)2X8 FLOOR JOISTS@ 16'' O.C.</t>
  </si>
  <si>
    <t>(2)2X8 FLOOR JOISTS@ 12'' O.C.</t>
  </si>
  <si>
    <t>RAFTERS</t>
  </si>
  <si>
    <t>SISTER 2X6 RAFTERS TO EXISTING ROOF RAFTERS@ 24'' O.C.</t>
  </si>
  <si>
    <t xml:space="preserve">2X12 ROOF RAFTERS@ 24'' O.C. </t>
  </si>
  <si>
    <t>BEAMS &amp; HEADERS</t>
  </si>
  <si>
    <t>(2)2X8 BEAM</t>
  </si>
  <si>
    <t>(2)2X10 BEAM/HEADER</t>
  </si>
  <si>
    <t>(2)2X12</t>
  </si>
  <si>
    <t>(2)7-1/4'' LVL</t>
  </si>
  <si>
    <t>(2)9-1/4'' LVL</t>
  </si>
  <si>
    <t>(2)11-1/4'' LVL</t>
  </si>
  <si>
    <t>(3)2X8</t>
  </si>
  <si>
    <t>(3)2X8 BEAM</t>
  </si>
  <si>
    <t>(3)2X10 BEAM/HEADER</t>
  </si>
  <si>
    <t>2X8 P.T. LEDGER</t>
  </si>
  <si>
    <t>2X10 P.T. BEAM/HEADER</t>
  </si>
  <si>
    <t>3-1/2''X12 ARCH. GLULAM</t>
  </si>
  <si>
    <t>5-1/4''X12 ARCH. GLULAM</t>
  </si>
  <si>
    <t>9-1/4'' P.T. PARALLAM</t>
  </si>
  <si>
    <t>DOUBLE 2X6 JOISTS</t>
  </si>
  <si>
    <t>ELEVATOR FRAMING</t>
  </si>
  <si>
    <t>HEADER</t>
  </si>
  <si>
    <t xml:space="preserve">(2)2X8 CONT. HEADER W/ 1/2'' PLYWOOD </t>
  </si>
  <si>
    <t>(2)2X4 STUDS
NO. OF STUDS@ 6'-4''HT: 3
NO. OF STUDS@ 8'-4''HT: 3
NO. OF STUDS@ 8'-6''HT: 3
NO. OF STUDS@ 9'-0''HT: 3</t>
  </si>
  <si>
    <t>(2)2X6 STUDS
NO. OF STUDS@ 6'-4''HT: 4
NO. OF STUDS@ 8'-4''HT: 4
NO. OF STUDS@ 8'-6''HT: 4
NO. OF STUDS@ 9'-0''HT: 4</t>
  </si>
  <si>
    <t>(3)11-1/4'' LVL STUDS
NO. OF STUDS@ 6'-4''HT: 2
NO. OF STUDS@ 8'-4''HT: 2
NO. OF STUDS@ 8'-6''HT: 2
NO. OF STUDS@ 9'-0''HT: 2</t>
  </si>
  <si>
    <t>BEAMS &amp; BRACINGS</t>
  </si>
  <si>
    <t>L3X3X1/4'' STAIR FRAMING</t>
  </si>
  <si>
    <t>(2)W10X12</t>
  </si>
  <si>
    <t>WT7X11</t>
  </si>
  <si>
    <t>COLUMNS</t>
  </si>
  <si>
    <t>5/S101: 1'-2''X7'' BASE PLATE</t>
  </si>
  <si>
    <t>L3X3X1/4 STEEL ANGLE LANDING COLUMNS
NO. OF COLUMNS@ 3'-0''HT: 4</t>
  </si>
  <si>
    <t>W6X12 COLUMN
NO. OF COLUMNS@ 8'-4''HT: 3
NO. OF COLUMNS@ 8'-6''HT: 3</t>
  </si>
  <si>
    <t>BASE PLATE</t>
  </si>
  <si>
    <t>3/4'' T&amp;G PLYWOOD SUBFLOOR SHEATHING</t>
  </si>
  <si>
    <t>A101, S101</t>
  </si>
  <si>
    <t>A001</t>
  </si>
  <si>
    <t>EQUIPMENT</t>
  </si>
  <si>
    <t>APPLIANCES &amp; EQUIPMENT</t>
  </si>
  <si>
    <t>REMOVE EXISTING STUCCO</t>
  </si>
  <si>
    <t>REMOVE EXISTING FORMSTONE SIDING</t>
  </si>
  <si>
    <t>PATCH AND REPAIR</t>
  </si>
  <si>
    <t>PAINT CLEAN &amp; POINT EXISTING BRICK</t>
  </si>
  <si>
    <t>PAINT FORM EXISTING BRICK SPOT POINT W/ MORTAR TO MATCH 910</t>
  </si>
  <si>
    <t>4" CMU WALLS W/ REINFORCEMENT</t>
  </si>
  <si>
    <t>GROUT PROVIDED FOR 4"THK. CMU WALL</t>
  </si>
  <si>
    <t>MORTAR PROVIDED FOR 4"THK. CMU WALL</t>
  </si>
  <si>
    <t>EXTERIOR FINISH</t>
  </si>
  <si>
    <t>BRICK</t>
  </si>
  <si>
    <t>A-201</t>
  </si>
  <si>
    <t>NEW BRICK SHALL MATCH EXISTING</t>
  </si>
  <si>
    <t>BRICK SOLDIER</t>
  </si>
  <si>
    <t>BRICK SILL</t>
  </si>
  <si>
    <t>BRICK ROWLOCK SILL</t>
  </si>
  <si>
    <t>WALL FRAMING</t>
  </si>
  <si>
    <t>A-101,A-102</t>
  </si>
  <si>
    <t>2X4 WOOD STUDS @ 16" O.C. 
NO. OF STUDS @ 8'-8" HT: 56
NO. OF STUDS @ 9'-0" HT: 100
NO. OF STUDS @ 9'-8" HT: 95
NO. OF STUDS @ 11'-0" HT: 33</t>
  </si>
  <si>
    <t>TOP PLATES</t>
  </si>
  <si>
    <t xml:space="preserve">2X4 TOP WOOD PLATES </t>
  </si>
  <si>
    <t>BOTTOM PLATES</t>
  </si>
  <si>
    <t xml:space="preserve">2X4 BOTTOM WOOD PLATES </t>
  </si>
  <si>
    <t>ZIP INSULATED SHEATHING AT WALL</t>
  </si>
  <si>
    <t>PLASTER</t>
  </si>
  <si>
    <t>1" CEMENT PLASTER</t>
  </si>
  <si>
    <t>INSULATION</t>
  </si>
  <si>
    <t>A-001,A-101,A-102</t>
  </si>
  <si>
    <t>3 1/2" BATT INSULATION AT WALL</t>
  </si>
  <si>
    <t>SOUND BATTS INSULATION AT WALL</t>
  </si>
  <si>
    <t>1" CLOSED-CELL SPRAY FOAM INSULATION AT WALL</t>
  </si>
  <si>
    <t>TAPERED INSULATION AT ROOF</t>
  </si>
  <si>
    <t>REVERSE BATTEN CEDAR SIDING</t>
  </si>
  <si>
    <t>EXTERIOR TRIM</t>
  </si>
  <si>
    <t>5/4 x8 CEDAR TRIM</t>
  </si>
  <si>
    <t>5/4 x10 CEDAR TRIM</t>
  </si>
  <si>
    <t>ROOFING ASSEMBLY</t>
  </si>
  <si>
    <t>A-001</t>
  </si>
  <si>
    <t>FIRETON ULTRAPLY ECOWHITE TPO ROOFING</t>
  </si>
  <si>
    <t>ULTRAPLY TPO MEMBRANE</t>
  </si>
  <si>
    <t>UNDERLAYMENT</t>
  </si>
  <si>
    <t>ROOF LINES</t>
  </si>
  <si>
    <t>RIDGE LINE</t>
  </si>
  <si>
    <t>VALLEY LINE</t>
  </si>
  <si>
    <t>SOFFIT &amp; FASCIA</t>
  </si>
  <si>
    <t>ITEM: SOFFIT
MFR: LEGACY PREFINISHING, INC.
TYPE: PREFINISHED CEDAR 
COLOR/STYLE: OLYMPIC MAXIMUM SEMI-TRANSPARENT
COLOR  TBD
VENDOR: LEGACY PREFINISHING, INC.</t>
  </si>
  <si>
    <t>METAL FASCIA BOARD</t>
  </si>
  <si>
    <t>GUTTER &amp; DOWNSPOUT</t>
  </si>
  <si>
    <t>ITEM: 5" HALF-ROUND GUTTER
MFR: SEAMLESS GUTTER SUPPLY
VENDOR: SEAMLESS GUTTER SUPPLY</t>
  </si>
  <si>
    <t>ITEM: 7" HALF-ROUND GUTTER
MFR: SEAMLESS GUTTER SUPPLY
VENDOR: SEAMLESS GUTTER SUPPLY</t>
  </si>
  <si>
    <t>ITEM: 3" DOWNSPOUT, U.O.N.
MFR: SEAMLESS ROUND DOWNSPOUT 
VENDOR: SEAMLESS GUTTER SUPPLY</t>
  </si>
  <si>
    <t>SCUPPER</t>
  </si>
  <si>
    <t>METAL SCUPPER &amp; CONDUCTOR HEAD</t>
  </si>
  <si>
    <t>CLEANOUT</t>
  </si>
  <si>
    <t>DOWNSPOUT CLEANOUT</t>
  </si>
  <si>
    <t>ROOF PAVERS</t>
  </si>
  <si>
    <t>2'-0" x2'-0" ROOF PAVERS OVER SCHLUTER PEDESTALS SYSTEM</t>
  </si>
  <si>
    <t>FLASHING</t>
  </si>
  <si>
    <t>METAL DRIP EDGE FLASHING</t>
  </si>
  <si>
    <t>METAL FLASHING</t>
  </si>
  <si>
    <t>METAL COUNTER FLASHING</t>
  </si>
  <si>
    <t>5 1/2" TPO QUICKSEAM FLASHING. EXTEND MIN 2" ONTO FIELD MEMBRANE</t>
  </si>
  <si>
    <t>5.5" TPO QUICKSEAM FLASHING</t>
  </si>
  <si>
    <t>GRAVEL</t>
  </si>
  <si>
    <t>METAL GRAVEL STOP</t>
  </si>
  <si>
    <t>ITEM: BASEMEENT FLOOR SEALER
MFR: SW/ DURON
TYPE: H&amp;C ULTRAPAVER PAVER SEALER - WATER-BASED CLEAR COAT
COLOR/STYLE: LOW-SHEEN / NATURAL FINISH
VENDOR: SW/ DURON</t>
  </si>
  <si>
    <t>ITEM: BASEMENT FLOOR STAIN
MFR: SW/ DURON
TYPE: H&amp;C INFUSION SEMI-TRANSPARENT DECORATIVE CONCRETE STAIN
COLOR/STYLE: TUMBLED STONE
VENDOR: SW/ DURON</t>
  </si>
  <si>
    <r>
      <t xml:space="preserve">ITEM: WOOD - 1ST FLR, 2ND &amp; 3RD FLRS / STAIR LANDINGS, TYP. U.O.N.
MFR: FAMILY LEGACY BRENTWOOD HILLS COLLECTION
TYPE: 5/8" THICK X 7 1/2" WIDE / FLOAT,GLUE, STAPLE, NAIL
COLOR/STYLE: ENGINEERED / EUROPEAN WHITE OAK / SAWN FACE VENEER / TBD - CANON  OR HAWTHORNE OR PACIFICO OR IVY POINT  /  3MM WEAR LAYER / MATTE SHEEN
VENDOR: LYNN WHOLESALE FLOORING / (301) 931-9663
</t>
    </r>
    <r>
      <rPr>
        <b/>
        <sz val="10"/>
        <color rgb="FFFF0000"/>
        <rFont val="Calibri"/>
        <family val="2"/>
        <scheme val="minor"/>
      </rPr>
      <t>LIST PRICE: $6/SF</t>
    </r>
  </si>
  <si>
    <r>
      <t xml:space="preserve">ITEM: VESTIBULE, PWDR RM 1, &amp; MUD RM FLOOR TILE
MFR: MARAZZI
TYPE: MOROCCAN CONCRETE
COLOR/STYLE: BLUE GRAY / 12 X 24 X 5/16 / INSTALL IN 30% OFFSET PATTERN
VENDOR: MORRIS TILE
NUMBER: MC54
</t>
    </r>
    <r>
      <rPr>
        <b/>
        <sz val="10"/>
        <color rgb="FFFF0000"/>
        <rFont val="Calibri"/>
        <family val="2"/>
        <scheme val="minor"/>
      </rPr>
      <t>LIST PRICE: $3.50/SF</t>
    </r>
  </si>
  <si>
    <t>ITEM: VESTIBULE, PWDR RM 1, &amp; MUD RM FLOOR TRIM
MFR: CUSTOM BLDG. PRODUCTS
TYPE: SANDED / 3/16" GROUT JOINT
COLOR/STYLE: DOVE GRAY
NUMBER: 370
VENDOR: MORRIS TILE</t>
  </si>
  <si>
    <r>
      <t xml:space="preserve">ITEM: BATH 1 FLOOR TILE
MFR: ROCA
TYPE: MAIOLICA FLOOR
COLOR/STYLE: 8 X 8 X 8.2MM / COTO PATTEM
NUMBER: MAIDF295-88
VENDOR: MORRIS TILE
</t>
    </r>
    <r>
      <rPr>
        <b/>
        <sz val="10"/>
        <color rgb="FFFF0000"/>
        <rFont val="Calibri"/>
        <family val="2"/>
        <scheme val="minor"/>
      </rPr>
      <t>PRICE: $6/SF</t>
    </r>
  </si>
  <si>
    <t>ITEM: BATH 2 &amp; 3 FLOOR TILE
MFR: MARAZZI
TYPE: LOUNGE 14
COLOR/STYLE: 2 X 2 X 5/16 / MESH-MOUNTED MOSAIC / COSMOPOLITAN
NUMBER: ULJE
VENDOR: MORRIS TILE</t>
  </si>
  <si>
    <r>
      <t xml:space="preserve">ITEM: BATH 2 &amp; 3 SHOWER NICHE
MFR: SCHLUTER
TYPE: KERDI  DOUBLE RECESSED SHELF- 12W X 20H X 4D - CENTER SHELF
COLOR/STYLE: TILE SHALL MATCH OR COORDINATE W/  SURROUND
NUMBER: KB12SN305508A1
VENDOR: SCHLUTER
</t>
    </r>
    <r>
      <rPr>
        <b/>
        <sz val="10"/>
        <color rgb="FFFF0000"/>
        <rFont val="Calibri"/>
        <family val="2"/>
        <scheme val="minor"/>
      </rPr>
      <t>PRICE: $91</t>
    </r>
  </si>
  <si>
    <r>
      <t xml:space="preserve">ITEM: LAUNDRY FLOOR TILE
MFR: ROCA
TYPE: MAIOLICA FLOOR
COLOR/STYLE: 8X8X8.2MM/ COTO
NUMBER: MAIF295-88
VENDOR: MORRIS TILE
</t>
    </r>
    <r>
      <rPr>
        <b/>
        <sz val="10"/>
        <color rgb="FFFF0000"/>
        <rFont val="Calibri"/>
        <family val="2"/>
        <scheme val="minor"/>
      </rPr>
      <t xml:space="preserve">PRICE: $6/SF </t>
    </r>
  </si>
  <si>
    <r>
      <t xml:space="preserve">ITEM: POWDER RM 2  FLOOR TILE
MFR: ROCA TILE
TYPE: CARRARA WHITE
COLOR/STYLE: 12 X 24 X 9MM
NUMBER: CFWHCAR-1224
VENDOR: MORRIS TILE
</t>
    </r>
    <r>
      <rPr>
        <b/>
        <sz val="10"/>
        <color rgb="FFFF0000"/>
        <rFont val="Calibri"/>
        <family val="2"/>
        <scheme val="minor"/>
      </rPr>
      <t xml:space="preserve">PRICE: $3.20/SF </t>
    </r>
  </si>
  <si>
    <r>
      <t xml:space="preserve">ITEM: BATH 4 FLOOR (EXCLUDING NICHE AND SHOWER FLOOR) &amp; BASE TRIM
MFR: ROCA TILE
TYPE: CARRARA WHITE
COLOR/STYLE: 12 X 24 X 9MM
NUMBER: CFWHCAR-1224
VENDOR: MORRIS TILE
</t>
    </r>
    <r>
      <rPr>
        <b/>
        <sz val="10"/>
        <color rgb="FFFF0000"/>
        <rFont val="Calibri"/>
        <family val="2"/>
        <scheme val="minor"/>
      </rPr>
      <t xml:space="preserve">PRICE: $3.20/SF </t>
    </r>
  </si>
  <si>
    <r>
      <t xml:space="preserve">ITEM: BED 5 TUB FLOOR TILE
MFR: ROCA TILE
TYPE: CARRARA WHITE
COLOR/STYLE: 12 X 24 X 9MM
NUMBER: CFWHCAR-1224
VENDOR: MORRIS TILE
</t>
    </r>
    <r>
      <rPr>
        <b/>
        <sz val="10"/>
        <color rgb="FFFF0000"/>
        <rFont val="Calibri"/>
        <family val="2"/>
        <scheme val="minor"/>
      </rPr>
      <t xml:space="preserve">PRICE: $3.20/SF </t>
    </r>
  </si>
  <si>
    <t>BASE</t>
  </si>
  <si>
    <t xml:space="preserve">WOOD BASE TRIM
TYPE: SOLID WOOD / PRIMED / EASED SQUAR EDGE PROFILE
SIZE: 1 X4 </t>
  </si>
  <si>
    <t>ITEM: BED 5 TUB FLOOR TRIM
MFR: SCHLUTER
TYPE: SCHIENE - TRANSITION SHOWN ON PLANS
COLOR/STYLE: SATIN ANNODIZED ALUM. / COORD. THICKNESS W/ TILE &amp; ADJACENT FLOORING
NUMBER: AE-
VENDOR: MORRIS TILE</t>
  </si>
  <si>
    <r>
      <t xml:space="preserve">ITEM: BATH 4 BASE TRIM
MFR: ROCA TILE
TYPE: CARRARA WHITE
COLOR/STYLE: 12 X 24 X 9MM
NUMBER: CFWHCAR-1224
VENDOR: MORRIS TILE
</t>
    </r>
    <r>
      <rPr>
        <b/>
        <sz val="10"/>
        <color rgb="FFFF0000"/>
        <rFont val="Calibri"/>
        <family val="2"/>
        <scheme val="minor"/>
      </rPr>
      <t xml:space="preserve">PRICE: $3.20/SF </t>
    </r>
  </si>
  <si>
    <t>ITEM: BATH 2 &amp; 3 BASE TRIM
MFR: MARAZZI
TYPE: LOUNGE 14
COLOR/STYLE: 2 X 2 X 5/16 / MESH-MOUNTED MOSAIC / COSMOPOLITAN
NUMBER: ULJE
VENDOR: MORRIS TILE</t>
  </si>
  <si>
    <t>THRESHOLDS</t>
  </si>
  <si>
    <t>ITEM: BATH THRESHOLDS, ALL
MFR: MORRIS TILE
TYPE: 4 X 36 X 5/8 DOUBLE BEVEL THRESHOLD
COLOR/STYLE: THASSOS WHITE
NUMBER: M420
VENDOR: MORRIS TILE</t>
  </si>
  <si>
    <t>TRIM</t>
  </si>
  <si>
    <t>ITEM: BATH 4 TRIM - OUTSIDE CORNERS &amp; PERIMETER
MFR: SCHLUTER
TYPE: QUADEC (USE COORDINATING CORNER ACCESSORIES AS NEEDED)
COLOR/STYLE: BRIGHT WHITE COLOR COATED ALUM- THICKNESS TO MATCH TILE
NUMBER: Q--
VENDOR: MORRIS TILE</t>
  </si>
  <si>
    <t>ITEM: BATH 4 TRIM - INSIDE CORNERS
MFR: SCHLUTER
TYPE: DILEX - EKE
COLOR/STYLE: BRIGHT WHITE - THICKNESS TO MATCH TILE
NUMBER: EKE
VENDOR: MORRIS TILE</t>
  </si>
  <si>
    <t>ITEM: LAUNDRY FLOOR TRIM
MFR: SCHLUTER
TYPE: SCHIENE - TRANSITION SHOWN ON PLANS
COLOR/STYLE: SATIN ANNODIZED ALUM. / COORD. THICKNESS W/ TILE &amp; ADJACENT FLOORING
NUMBER: AE-
VENDOR: MORRIS TILE</t>
  </si>
  <si>
    <t xml:space="preserve">ITEM: LAUNDRY BACKSPLASH TRIM
MFR: SCHLUTER
TYPE: QUADEC (USE COORDINATING CORNER ACCESSORIES AS NEEDED)
COLOR/STYLE: BRIGHT WHITE COLOR COATED ALUM- THICKNESS TO MATCH TILE
NUMBER: Q--
VENDOR: MORRIS TILE </t>
  </si>
  <si>
    <t>ITEM: BATH 2 &amp; 3 TRIM - OUTSIDE CORNERS &amp; PERIMETER
MFR: SCHLUTER
TYPE: QUADEC (USE COORDINATING CORNER ACCESSORIES AS NEEDED)
COLOR/STYLE: POLISHED CHROME ANODIZED ALUMINUM - THICKNESS TO MATCH TILE
NUMBER: Q--
VENDOR: MORRIS TILE</t>
  </si>
  <si>
    <t>ITEM: BATH 2 &amp; 3 TRIM - INSIDE CORNERS
MFR: SCHLUTER
TYPE: DILEX - AHK (USE COORDINATING CORNER ACCESSORIES AS NEEDED)
COLOR/STYLE: POLISHED CHROME ANODIZED ALUMINUM - THICKNESS TO MATCH TILE
NUMBER: AKH--
VENDOR: MORRIS TILE</t>
  </si>
  <si>
    <t>ITEM: KITCHEN BACKSPLASH TRIM
MFR: SCHLUTER
TYPE: JOLLY
COLOR/STYLE: BRUSHED BRASS ANODIZED ALUM - COORDINATE THICKNESS WITH TILE
NUMBER: ACGB-
VENDOR: MORRIS TILE</t>
  </si>
  <si>
    <r>
      <t xml:space="preserve">ITEM: BATH 1 BASE TRIM
MFR: ROCA
TYPE: MAIOLICA FLOOR
COLOR/STYLE: 8 X 8 X 8.2MM / COTO PATTEM
NUMBER: MAIDF295-88
VENDOR: MORRIS TILE
</t>
    </r>
    <r>
      <rPr>
        <b/>
        <sz val="10"/>
        <color rgb="FFFF0000"/>
        <rFont val="Calibri"/>
        <family val="2"/>
        <scheme val="minor"/>
      </rPr>
      <t>PRICE: $6/SF</t>
    </r>
  </si>
  <si>
    <t>ITEM: BATH 1 TRIM - OUTSIDE CORNERS &amp; PERIMETER
MFR: SCHLUTER
TYPE: QUADEC (USE COORDINATING CORNER ASSESSORIES AS NEEDED)
COLOR/STYLE: BRIGHT WHITE - THICKNESS TO MATCH TILE
NUMBER: EKE
VENDOR: MORRIS TILE</t>
  </si>
  <si>
    <t>ITEM: BATH 1 TRIM - VERTICAL INSIDE CORNERS
MFR: SCHLUTER
TYPE: DILEX - EKE
COLOR/STYLE: BRIGHT WHITE - THICKNESS TO MATCH TILE
NUMBER: Q--
VENDOR: MORRIS TILE</t>
  </si>
  <si>
    <t>ITEM: BATH 1 TRIM - JOINT BETWEEN TILE &amp; TUB
MFR: SCHLUTER
TYPE: DILEX - BWA
COLOR/STYLE: BRIGHT WHITE - THICKNESS TO MATCH TILE
NUMBER: BWA--
VENDOR: MORRIS TILE</t>
  </si>
  <si>
    <t>WALL TILE</t>
  </si>
  <si>
    <r>
      <t xml:space="preserve">ITEM: BATH 5 TUB WALL TILE - FIELD MURAL
MFR: ANGELA HARRIS
TYPE: WILDER SPRING LEAVES MURAL
COLOR/STYLE: 8X8 MATTE PORCELAIN TILE - EACH BOX CONTAINS 36 PIECES TO FORM A 48” X 48” MURAL
VENDOR: TILE BAR
</t>
    </r>
    <r>
      <rPr>
        <b/>
        <sz val="10"/>
        <color rgb="FFFF0000"/>
        <rFont val="Calibri"/>
        <family val="2"/>
        <scheme val="minor"/>
      </rPr>
      <t>PRICE: $29.95/SF</t>
    </r>
  </si>
  <si>
    <r>
      <t xml:space="preserve">ITEM: BATH 5 TUB WALL TILE - BORDER
MFR: LOS LUNAS
TYPE: GREEN
COLOR/STYLE: 8 X 8  MATTE PORCELAIN
</t>
    </r>
    <r>
      <rPr>
        <b/>
        <sz val="10"/>
        <color rgb="FFFF0000"/>
        <rFont val="Calibri"/>
        <family val="2"/>
        <scheme val="minor"/>
      </rPr>
      <t>VENDOR: $7.65/SF</t>
    </r>
  </si>
  <si>
    <r>
      <t xml:space="preserve">ITEM: BATH 4 SHOWER NICHE
MFR: SCHLUTER
TYPE: KERDI  DOUBLE RECESSED SHELF- 12W X 20H X 4D - CENTER SHELF
COLOR/STYLE: TILE SHALL MATCH OR COORDINATE W/  SURROUND
NUMBER: KB12SN305508A1
VENDOR: SCHLUTER
</t>
    </r>
    <r>
      <rPr>
        <b/>
        <sz val="10"/>
        <color rgb="FFFF0000"/>
        <rFont val="Calibri"/>
        <family val="2"/>
        <scheme val="minor"/>
      </rPr>
      <t>PRICE: $91</t>
    </r>
  </si>
  <si>
    <r>
      <t xml:space="preserve">ITEM: BATH 4  WALL TILE(EXCLUDING NICHE AND SHOWER FLOOR) &amp; BASE TRIM
MFR: ROCA TILE
TYPE: CARRARA WHITE
COLOR/STYLE: 12 X 24 X 9MM
NUMBER: CFWHCAR-1224
VENDOR: MORRIS TILE
</t>
    </r>
    <r>
      <rPr>
        <b/>
        <sz val="10"/>
        <color rgb="FFFF0000"/>
        <rFont val="Calibri"/>
        <family val="2"/>
        <scheme val="minor"/>
      </rPr>
      <t xml:space="preserve">PRICE: $3.20/SF </t>
    </r>
  </si>
  <si>
    <r>
      <t xml:space="preserve">ITEM: LAUNDRY BACKSPLASH TILE
MFR: ROCA
TYPE: MAIOLICA FLOOR
COLOR/STYLE: 8 X 8 X 8.2MM / COTO PATTERN
NUMBER: MAIDF295-88
VENDOR: MORRIS TILE
</t>
    </r>
    <r>
      <rPr>
        <b/>
        <sz val="10"/>
        <color rgb="FFFF0000"/>
        <rFont val="Calibri"/>
        <family val="2"/>
        <scheme val="minor"/>
      </rPr>
      <t>PRICE: $6/SF</t>
    </r>
  </si>
  <si>
    <r>
      <t xml:space="preserve">ITEM: KITCHEN BACKSPLASH TILE
MFR: ANGELA HARRIS
TYPE: DUNMORE SERIES / SONATA DECOR
COLOR/STYLE: 8 X 8 X 5/16 POLISHED CERAMIC WALL TILE (25 ASSORTED DESIGNS PER BOX) -INSTALLED IN RANDOM ARRANGEMENT
VENDOR: TILE BAR
</t>
    </r>
    <r>
      <rPr>
        <b/>
        <sz val="10"/>
        <color rgb="FFFF0000"/>
        <rFont val="Calibri"/>
        <family val="2"/>
        <scheme val="minor"/>
      </rPr>
      <t>LIST PRICE: $9.95/SF</t>
    </r>
  </si>
  <si>
    <r>
      <t xml:space="preserve">ITEM: BATH 1 WALL TILE
MFR: ROCA
TYPE: MAIOLICA FLOOR
COLOR/STYLE: 8 X 8 X 8.2MM / COTO PATTEM
NUMBER: MAIDF295-88
VENDOR: MORRIS TILE
</t>
    </r>
    <r>
      <rPr>
        <b/>
        <sz val="10"/>
        <color rgb="FFFF0000"/>
        <rFont val="Calibri"/>
        <family val="2"/>
        <scheme val="minor"/>
      </rPr>
      <t>PRICE: $6/SF</t>
    </r>
  </si>
  <si>
    <r>
      <t xml:space="preserve">ITEM: BATH 2 &amp; 3 WALL TILE
MFR: ROCA
TYPE: JOY SERIES
COLOR/STYLE: 4 X 10 X 7.3MM / ATOLL BLUE
NUMBER: JOYAB03-410
VENDOR: MORRIS TILE
</t>
    </r>
    <r>
      <rPr>
        <b/>
        <sz val="10"/>
        <color rgb="FFFF0000"/>
        <rFont val="Calibri"/>
        <family val="2"/>
        <scheme val="minor"/>
      </rPr>
      <t xml:space="preserve">LIST PRICE: $3.20/SF </t>
    </r>
  </si>
  <si>
    <t>GROUT</t>
  </si>
  <si>
    <t>ITEM:BATH 4 &amp; BED 5 TUB FLOOR GROUT
MFR: CUSTOM BLDG. PRODUCTS
TYPE: SANDED / GROUT JOINT PER MAN.
COLOR/STYLE: PLATINUM
NUMBER: 115
VENDOR: MORRIS TILE</t>
  </si>
  <si>
    <t>ITEM: BATH 4 WALL GROUT
MFR: CUSTOM BLDG. PRODUCTS
TYPE: UNSANDED / GROUT JOINT PER MAN.
COLOR/STYLE: PLATINUM
NUMBER: 115
VENDOR: MORRIS TILE</t>
  </si>
  <si>
    <t>ITEM: POWDER RM 2  FLOOR GROUT
MFR: CUSTOM BLDG. PRODUCTS
TYPE: SANDED / GROUT JOINT PER MAN.
COLOR/STYLE: PLATINUM
NUMBER: 115
VENDOR: MORRIS TILE</t>
  </si>
  <si>
    <t>ITEM: LAUNDRY FLOOR GROUT
MFR: CUSTOM BLDG. PRODUCTS
TYPE: SANDED / GROUT JOINT PER MAN.
COLOR/STYLE: ARCTIC ICE
NUMBER: 301
VENDOR: MORRIS TILE</t>
  </si>
  <si>
    <t>ITEM: LAUNDRY BACKSPLASH GROUT
MFR: CUSTOM BLDG. PRODUCTS
TYPE: UNSANDED / GROUT JOINT PER MAN.
COLOR/STYLE: ARCTIC ICE
NUMBER: 301
VENDOR: MORRIS TILE</t>
  </si>
  <si>
    <t>ITEM: VESTIBULE, PWDR RM 1, &amp; MUD RM FLOOR GROUT
MFR: SCHLUTER
TYPE: SCHIENE - TRANSITION SHOWN ON PLANS
COLOR/STYLE: SATIN ANNODIZED ALUM. / COORD. THICKNESS W/ TILE &amp; ADJACENT FLOORING 
NUMBER: AE
VENDOR: MORRIS TILE</t>
  </si>
  <si>
    <t>ITEM: KITCHEN BACKSPLASH GROUT
MFR: CUSTOM BLDG. PRODUCTS
TYPE: UNSANDED / GROUT JOINT PER MAN. 
COLOR/STYLE: OYSTER GRAY
NUMBER: 386
VENDOR: MORRIS TILE</t>
  </si>
  <si>
    <t>ITEM: BATH 1 FLOOR GROUT
MFR: CUSTOM BLDG PRODUCTS
TYPE: SANDED / GROUT JOINT PER MAN
COLOR/STYLE: ARCTIC
NUMBER: 301
VENDOR: MORRIS TILE</t>
  </si>
  <si>
    <t>ITEM: BATH 2 &amp; 3 FLOOR GROUT
MFR: CUSTOM BLDG. PRODUCTS
TYPE: SANDED / GROUT JOINT PER MAN.
COLOR/STYLE: OYSTER GRAY
NUMBER: 386
VENDOR: MORRIS TILE</t>
  </si>
  <si>
    <t>ITEM: BATH 2 &amp; 3 WALL GROUT
MFR: CUSTOM BLDG. PRODUCTS
TYPE: UNSANDED / GROUT JOINT PER MAN.
COLOR/STYLE: OYSTER GRAY
NUMBER: 386
VENDOR: MORRIS TILE</t>
  </si>
  <si>
    <t>GYPSUM BOARD</t>
  </si>
  <si>
    <t xml:space="preserve">WALLS </t>
  </si>
  <si>
    <t>NO. OF SHEETS</t>
  </si>
  <si>
    <t xml:space="preserve">ADHESIVE </t>
  </si>
  <si>
    <t>TUBES</t>
  </si>
  <si>
    <t>TAPING</t>
  </si>
  <si>
    <t>ROLLS</t>
  </si>
  <si>
    <t>DRYWALL SCREWS</t>
  </si>
  <si>
    <t>MUD PLASTER</t>
  </si>
  <si>
    <t xml:space="preserve">1/2" THK. GYPSUM BOARD AT WALLS </t>
  </si>
  <si>
    <t xml:space="preserve">CEILING </t>
  </si>
  <si>
    <t>ITEM: BED 5 CEILING
MFR: AMERICAN PACIFIC
TYPE: 3/8 IN. X 5-1/2 IN. X 4 FT. PLANKING (8-PIECE PER BOX - 2 BOXES PER CARTON)
COLOR/STYLE: COASTAL IVORY / RECLAIMED WOOD APPEARANCE
NUMBER: INTERNET #306725044 MODEL #8203804 STORE SKU #1003566274
VENDOR: HOME DEPOT
PRICE: $88 PER CARTON/ $3 PER SF</t>
  </si>
  <si>
    <t>ITEM: ALL CEILINGS U.O.N.
MFR: SW/ DURON - ENHANCED HARMONY NO VOC
TYPE: FLAT
COLOR/STYLE: PURE WHITE
NUMBER: SW7005
VENDOR: SW/ DURON</t>
  </si>
  <si>
    <t>PAINT</t>
  </si>
  <si>
    <t>ITEM: ONE COAT OF PRIMER WITH TWO COATS OF PAINT ALL WALLS U.O.N.
MFR:  SW/ DURON - ENHANCED HARMONY NO VOC
TYPE: FLAT ENAMEL (SIMILAR TO EGGSHELL)
COLOR/STYLE: SHOJI WHITE
NUMBER: SW7042
VENDOR: SW/ DURON</t>
  </si>
  <si>
    <t>ITEM: ONE COAT OF PRIMER WITH TWO COATS OF PAINT POWDER RM 1 
MFR:  SW/ DURON - ENHANCED HARMONY NO VOC
TYPE: FLAT ENAMEL (SIMILAR TO EGGSHELL)
COLOR/STYLE: SHAMROCK
NUMBER: SW6454
VENDOR: SW/ DURON</t>
  </si>
  <si>
    <t>ITEM: ONE COAT OF PRIMER WITH TWO COATS OF PAINT BEDROOM 1
MFR:  SW/ DURON - ENHANCED HARMONY NO VOC
TYPE: FLAT ENAMEL (SIMILAR TO EGGSHELL)
COLOR/STYLE: TBD
NUMBER: TBD
VENDOR: SW/ DURON</t>
  </si>
  <si>
    <t>ITEM: ONE COAT OF PRIMER WITH TWO COATS OF PAINT BEDROOM 2
MFR:  SW/ DURON - ENHANCED HARMONY NO VOC
TYPE: FLAT ENAMEL (SIMILAR TO EGGSHELL)
COLOR/STYLE: TBD
NUMBER: TBD
VENDOR: SW/ DURON</t>
  </si>
  <si>
    <t>ITEM: ONE COAT OF PRIMER WITH TWO COATS OF PAINT BEDROOM 5
MFR:  SW/ DURON - ENHANCED HARMONY NO VOC
TYPE: FLAT ENAMEL (SIMILAR TO EGGSHELL)
COLOR/STYLE: TBD
NUMBER: TBD
VENDOR: SW/ DURON</t>
  </si>
  <si>
    <t>ONE COAT OF PRIMER WITH TWO COATS OF PAINT AT CEILING</t>
  </si>
  <si>
    <t>BID ALTERNATE</t>
  </si>
  <si>
    <t>TRADE
TOTAL</t>
  </si>
  <si>
    <t>ALT-1</t>
  </si>
  <si>
    <t>DEDUCT ALTERNATE #1</t>
  </si>
  <si>
    <t>ITEM: BATH 4 SHOWER FLOOR &amp; NICHE TILE- DEDUCT ALTERNATE
MFR: MARAZZI 
TYPE: MOROCCAN CONCRETE
COLOR/STYLE: 3 X 3 ENCAUSTIC MESH-MOUNTED MOSAIC / AZIZA
NUMBER: MC60
VENDOR: MORRIS TILE</t>
  </si>
  <si>
    <t>STAIR</t>
  </si>
  <si>
    <t>A101-A102-A301-A401</t>
  </si>
  <si>
    <r>
      <t xml:space="preserve">3'-6'' W METAL PAN  STAIR W/ CONCRETE TOPPING
RISER HEIGHT = 0'-7''
TREAD DEPTH = 0'-11"
</t>
    </r>
    <r>
      <rPr>
        <b/>
        <sz val="10"/>
        <rFont val="Calibri"/>
        <family val="2"/>
        <scheme val="minor"/>
      </rPr>
      <t xml:space="preserve">NOTE: </t>
    </r>
    <r>
      <rPr>
        <sz val="10"/>
        <rFont val="Calibri"/>
        <family val="2"/>
        <scheme val="minor"/>
      </rPr>
      <t>11" x 1/8" DIAMOND PLATE STEEL TREADS W/ 2 x 2 x 1/8" x 0'-9" CLIP ANGLES EACH SIDE.</t>
    </r>
  </si>
  <si>
    <t>RISERS</t>
  </si>
  <si>
    <t>1/4" DIAMOND PLATE STEEL LANDING</t>
  </si>
  <si>
    <t>1-1/4" SQ STEEL TUBE POSTS &amp; INTERMEDIATE GUARDRAIL
-1-1/2" SQ STEEL TUBE TOP RAIL
-MCNICHOLS DESIGNER WIRE MESH
-1/2" x 1/2" STEEL BAR EACH SIDE</t>
  </si>
  <si>
    <t>10" STEEL CHANNEL STRINGER</t>
  </si>
  <si>
    <r>
      <t xml:space="preserve">3'-6'' W WOODEN STAIR
RISER HEIGHT = '0-6''
TREAD DEPTH = 0'-11"
</t>
    </r>
    <r>
      <rPr>
        <b/>
        <sz val="10"/>
        <rFont val="Calibri"/>
        <family val="2"/>
        <scheme val="minor"/>
      </rPr>
      <t xml:space="preserve">NOTE: </t>
    </r>
    <r>
      <rPr>
        <sz val="10"/>
        <rFont val="Calibri"/>
        <family val="2"/>
        <scheme val="minor"/>
      </rPr>
      <t>MCNICHOLS DESIGNER PERFORMED METAL RISERS</t>
    </r>
  </si>
  <si>
    <r>
      <t xml:space="preserve">WOOD STAIR LANDING
</t>
    </r>
    <r>
      <rPr>
        <b/>
        <sz val="10"/>
        <rFont val="Calibri"/>
        <family val="2"/>
        <scheme val="minor"/>
      </rPr>
      <t>NOTE:</t>
    </r>
    <r>
      <rPr>
        <sz val="10"/>
        <rFont val="Calibri"/>
        <family val="2"/>
        <scheme val="minor"/>
      </rPr>
      <t xml:space="preserve"> LANDING TREADS SHALL MATCH FLOORING</t>
    </r>
  </si>
  <si>
    <t xml:space="preserve">1-1/4"DIA-PAINTED STEEL HANDRAIL
-1/2"DIA x 1-1/4''DIA L J-6000 TOP RAIL W/ STEEL PLATE IN PLOW
-1-1/4"SQUARE STEEL TUBE POSTS &amp; INTERMEDIATE RAIL </t>
  </si>
  <si>
    <t>PAINTED STEEL GUARDRAIL
-1/2"DIA TREADED ROD STANDOFF
-MCNICHOLS DESIGNER WIRE MESH
-1-1/4"DIA STEEL POST</t>
  </si>
  <si>
    <t>FINISHED WOOD STRINGERS
-STAIR CARRIAGE
-5/4 CAP
-1/2" SHADOW BEAD</t>
  </si>
  <si>
    <t>INTERIOR TRIM</t>
  </si>
  <si>
    <t>INTERIOR TRIM AT DOORS</t>
  </si>
  <si>
    <t>INTERIOR TRIM AT WINDOWS</t>
  </si>
  <si>
    <t>FINISH CARPENTRY &amp; MILLWORK</t>
  </si>
  <si>
    <t>CABINETS DOOR &amp; FRAME</t>
  </si>
  <si>
    <t>ITEM: VESTIBULE - CAB. FRAME SET
MFR: IKEA
TYPE: PAX WARDROBE SYSTEM
COLOR/STYLE: WHITE / 2-FRAME SET / WIDTH: 58 7/8 " X DEPTH: 13 3/4 " X HEIGHT: 93 1/8"
NUMBER:398.952.96
VENDOR: IKEA
PRICE: $240</t>
  </si>
  <si>
    <t>ITEM: BEDROOM 1 &amp; 2 - CAB. FRAME
MFR: IKEA
TYPE: PAX WARDROBE SYSTEM
COLOR/STYLE: WHITE / 4-FRAME SET / WIDTH: 98 1/4 " DEPTH: 22 7/8 " HEIGHT: 93 1/8 "
NUMBER: 298.954.28
VENDOR: IKEA
PRICE: $510</t>
  </si>
  <si>
    <t>ITEM: VESTIBULE - DOOR FRAME
MFR: IKEA
TYPE: PAX WARDROBE SYSTEM
COLOR/STYLE: ALUM. W/ BLACK POWDER COATING / 2-DOOR SLIDER  SET / HARDWARE NOT  REQUIRED / WIDTH: 59 " HEIGHT: 92 7/8 " BUILT-IN DEPTH: 3 1/8 " THICKNESS: 7/8 "
NUMBER: 204.581.87
VENDOR: IKEA
PRICE: $220</t>
  </si>
  <si>
    <r>
      <t xml:space="preserve">ITEM: BEDROOM 1 &amp; 2 - DOOR A - COMPLETE W/ HINGES PER MAN.
MFR: IKEA
TYPE: FARDAL
COLOR/STYLE: HINGED / HIGH GLOSS WHITE / 19 1/2" X 90 3/8"
NUMBER: 801.905.29
VENDOR: IKEA
PRICE: $120
</t>
    </r>
    <r>
      <rPr>
        <b/>
        <sz val="10"/>
        <rFont val="Calibri"/>
        <family val="2"/>
        <scheme val="minor"/>
      </rPr>
      <t xml:space="preserve">NOTE: </t>
    </r>
    <r>
      <rPr>
        <sz val="10"/>
        <rFont val="Calibri"/>
        <family val="2"/>
        <scheme val="minor"/>
      </rPr>
      <t>DOOR A - COMPLETE W/ HINGERS PER MANUFACTURERS</t>
    </r>
  </si>
  <si>
    <r>
      <t xml:space="preserve">ITEM: BEDROOM 1 &amp; 2 - DOOR B - COMPLETE W/ HINGES PER MAN.
MFR: IKEA
TYPE: FARDAL
COLOR/STYLE: HINGED / HIGH GLOSS WHITE / 9 5/8" X 90 3/8"
NUMBER: 503.446.27
VENDOR: IKEA
PRICE: $50
</t>
    </r>
    <r>
      <rPr>
        <b/>
        <sz val="10"/>
        <rFont val="Calibri"/>
        <family val="2"/>
        <scheme val="minor"/>
      </rPr>
      <t xml:space="preserve">NOTE: </t>
    </r>
    <r>
      <rPr>
        <sz val="10"/>
        <rFont val="Calibri"/>
        <family val="2"/>
        <scheme val="minor"/>
      </rPr>
      <t>DOOR B - COMPLETE W/ HINGERS PER MANUFACTURERS</t>
    </r>
  </si>
  <si>
    <t>ITEM: BEDROOM 3 - CAB. FRAME  
MFR: IKEA
TYPE: PAX WARDROBE SYSTEM
COLOR/STYLE: WHITE / 2-FRAME SET /  WIDTH: 58 7/8 " DEPTH: 22 7/8 " HEIGHT: 93 1/8 "
NUMBER: 198.952.83
VENDOR: IKEA
PRICE: $260</t>
  </si>
  <si>
    <t>ITEM: BEDROOM 3 - DOOR FRAME 
2'-0"D IKEA PAX WARDROBE
MFR: IKEA
TYPE: PAX WARDROBE SYSTEM
COLOR/STYLE: ALUM. W/ WHITE POWDER COATING / 2-DOOR SLIDER SET / HARDWARE NOT REQUIRED / WIDTH: 59 "HEIGHT: 92 7/8 "BUILT-IN DEPTH: 3 1/8 "THICKNESS: 7/8 "
NUMBER: 402.502.66
VENDOR: IKEA
PRICE: $220</t>
  </si>
  <si>
    <t>DOOR PANELS</t>
  </si>
  <si>
    <t>ITEM: VESTIBULE : 1'-2"D IKEA PAX WARDROBE DOOR PANEL A
MFR: IKEA
TYPE: HOKKSUND
COLOR/STYLE: HIGH GLOSS WHITE 4-PANEL SET / 29 1/2" X 92 7/8"
NUMBER: 703.823.50
VENDOR: IKEA
PRICE: $90</t>
  </si>
  <si>
    <t>ITEM: VESTIBULE : 1'-2"D IKEA PAX WARDROBE DOOR PANEL B
MFR: IKEA
TYPE: AULI
COLOR/STYLE: MIRRORED 4-PANEL SET / 29 1/2" X 92 7/8"
NUMBER: 302.112.75
VENDOR: IKEA
PRICE: $55</t>
  </si>
  <si>
    <t>ITEM: BEDROOM 3 - DOOR PANELS
MFR: IKEA
TYPE: MEHAMN
COLOR/STYLE: REVERSIBLE MATTE WHITE AND WHITE OAK EFFECT 4-PANELSET / 29 1/2" X 92 7/8"" - INSTALL WHITE SIDE OUT
NUMBER: 404.211.88
VENDOR: IKEA
PRICE: $50</t>
  </si>
  <si>
    <t>UPPER CABINETS</t>
  </si>
  <si>
    <t>ITEM: KITCHEN - MAIN
KITCHEN MAIN: 1'-0"D UPPER CABINETS
MFR: MERILLAT
TYPE: MASTERPIECE COLLECTION
COLOR/STYLE: EPIC / CHERRY W/ BALTIC STAIN
NUMBER: SEE ELEVATIONS
VENDOR: REICO</t>
  </si>
  <si>
    <t>BASE CABINETS</t>
  </si>
  <si>
    <t>ITEM: KITCHEN - SINK BASE, ISLAND &amp; TALL CABINETS (EXCLUDES TALL APPLIANCE GARAGE)
2'-0"D BASE CABINETS
MFR: MERILLAT
TYPE: MASTERPIECE COLLECTION
COLOR/STYLE: EPIC / EVERCORE / HARBOR BLUE PAINT
NUMBER: SEE ELEVATIONS
VENDOR: REICO</t>
  </si>
  <si>
    <t>ITEM: LAUNDRY RM
2'-0"D BASE CABINET
MFR: IKEA
TYPE: SEKTION
COLOR/STYLE: RINGHULT HIGH GLOSS WHITE / WHITE CAB.
NUMBER: VARIES
VENDOR: IKEA</t>
  </si>
  <si>
    <t>ITEM: BEDROOM 1 &amp; 2 - INTERIOR
2'-0"D IKEA PAX WARDROBE
MFR: IKEA
TYPE: KOMPLEMENT
COLOR/STYLE: TBD
NUMBER: TBD
VENDOR: IKEA</t>
  </si>
  <si>
    <t>ITEM: VESTIBULE - INTERIOR
MFR: IKEA
TYPE: KOMPLEMENT
COLOR/STYLE: TBD
NUMBER: TBD
VENDOR: IKEA</t>
  </si>
  <si>
    <t>ITEM: BEDROOM 3 - INTERIOR
MFR: IKEA
TYPE: KOMPLEMENT
COLOR/STYLE: TBD
NUMBER: TBD
VENDOR: IKEA</t>
  </si>
  <si>
    <t>MOULDING</t>
  </si>
  <si>
    <r>
      <t xml:space="preserve">ITEM: SHOE MOULDING
DO NOT INSTALL
</t>
    </r>
    <r>
      <rPr>
        <b/>
        <sz val="10"/>
        <rFont val="Calibri"/>
        <family val="2"/>
        <scheme val="minor"/>
      </rPr>
      <t>NOTE:</t>
    </r>
    <r>
      <rPr>
        <sz val="10"/>
        <rFont val="Calibri"/>
        <family val="2"/>
        <scheme val="minor"/>
      </rPr>
      <t xml:space="preserve"> WATERFALL COUNTERTOP TO FLOOR MITRE JOINT AT CORNER DO NOT INSTALL SHOE MOULDING TYP EACH END.</t>
    </r>
  </si>
  <si>
    <t>CLOSET</t>
  </si>
  <si>
    <t>1'-6"D LINEN CLOSET</t>
  </si>
  <si>
    <t>ITEM: DRESSING ROOM - 1'-0"D CLOSET SYSTEM TBD
MFR: TBD
TYPE: TBD
COLOR/STYLE: TBD
NUMBER: TBD
VENDOR: TBD</t>
  </si>
  <si>
    <t>ITEM: DRESSING ROOM - 2'-0"D CLOSET SYSTEM TBD
MFR: TBD
TYPE: TBD
COLOR/STYLE: TBD
NUMBER: TBD
VENDOR: TBD</t>
  </si>
  <si>
    <t>BENCH</t>
  </si>
  <si>
    <t>ITEM: VESTIBULE BENCH &amp; OPEN SHELVING @ KITCHEN &amp; VESTIBULE
1'-4"D SOLID WOOD BENCH W/ MATCHING APRON SUPPORT W/ 1 x 3 HIDDEN CLEATS AT 4 SIDES MITRE JOINT AT APRON AND FASTEN TO CLEATS FROM UNDERSIDE OF BENCH
MFR: WOOD
TYPE: WHITE OAK / PLANED SURFACE / FINISH TO MATCH KITCHEN CABINETS 
COLOR/STYLE: 1 1/2"-1 3/4" THICK X 12* DIMENSIONAL (COORD. ANY CHANGES W/ BRACKETS)/ SQUARE EDGE</t>
  </si>
  <si>
    <t>VANITY</t>
  </si>
  <si>
    <t>ITEM: BATH 4 VANITY
1'-10"D x 6'-0"W x 2'-10"H VANITY
MFR: WATER CREATION
TYPE: ELIZABETH COLLECTION / MONARCH BLUE VANITY W/ UNDERMOUNT DOUBLE SINK
COLOR/STYLE: 72 1/2" W X 22" D X 34 1/4"H / 8" CC FAUCET HOLES (GOLD HARDWARE &amp; CARRARA WHITE NATURAL MARBLE TOP INCLUDED / FAUCET NOT INCLUDED)
NUMBER: ITEM #2701963
MODEL: VEL072CWMB00
VENDOR: LOWE'S
PRICE: $1,937</t>
  </si>
  <si>
    <t>ITEM: POWDER RM 1 VANITY
1'-4"D x 2'-0"W x 3'-0"H VANITY
MFR: SWISS MADISON
TYPE: CLAIRE CONSOLE SINK WHITE BASIN &amp; BRUSHED GOLD LEGS
COLOR/STYLE: D: 16 1/2” X W: 24” X H: 35 3/8”
NUMBER: INTERNET #320473275 MODEL #SM-CS721BGSTORE SKU #1007829921
VENDOR: HOME DEPOT
PRICE: $304</t>
  </si>
  <si>
    <t>ITEM: POWDER RM 2 VANITY 
1'-4"D x 1'-9"W x 3'-2"H VANITY
MFR: IKEA
TYPE: NYSJON / BJORKAN / SALJEN
COLOR/STYLE: 21 1/4 " X  15 3/4 " X 38 5/8" / MATTE WHITE SINGLE DOOR AND BOWL W/ MATTE BLACK FAUCET
NUMBER: 194.159.57
VENDOR: IKEA
PRICE: $125</t>
  </si>
  <si>
    <t>ITEM: BATH 1 VANITY
1'-8"D x 4'-0"W x 2'-2"H VANITY
MFR: IKEA
TYPE: GODMORGON / ODENSVIK / HAMNSKAR
COLOR/STYLE: 47 1/4" X 19 1/4" X 29 7/8"/ KASJON LIGHT GRAY 4-DRAWER / SINGLE BOWL SINK &amp; CHROME FAUCET
NUMBER: 892.931.27
VENDOR: IKEA
PRICE: $854</t>
  </si>
  <si>
    <t>ITEM: BATH 2 &amp; 3 VANITY
1'-8"D x 4'-0"W x 2'-2"H VANITY
MFR: IKEA
TYPE: GODMORGON / ODENSVIK / DALSKAR
COLOR/STYLE: 47 1/4" X 19 1/4" X 25 1/4"/ HIGH GLOSS WHITE 4-DRAWER W/ SINGLE BOWL SINK &amp; CHROME FAUCET
NUMBER: 892.931.46
VENDOR: IKEA
PRICE: $834</t>
  </si>
  <si>
    <t>SHELVING</t>
  </si>
  <si>
    <t>ITEM: VESTIBULE BENCH &amp; OPEN SHELVING @ KITCHEN &amp; VESTIBULE
1'-0"D SOLID WOOD SHELF W/ CONCEALED BRACKETS
MFR: WOOD
TYPE: WHITE OAK / PLANED SURFACE / FINISH TO MATCH KITCHEN CABINETS 
COLOR/STYLE: 1 1/2"-1 3/4" THICK X 12* DIMENSIONAL (COORD. ANY CHANGES W/ BRACKETS)/ SQUARE EDGE</t>
  </si>
  <si>
    <t>ITEM: 1'-0"D PANTRY SHELVING 
MFR: TBD
TYPE: TBD
COLOR/STYLE: TBD
NUMBER: TBD
VENDOR: TBD</t>
  </si>
  <si>
    <t>ITEM: BATH 2 &amp; 3: 1'-0"D OPEN SHELVING
MFR: 2 PCS HIGH GLOSS WHITE MDF FLOATING DECORATIVE WALL SHELVES
TYPE: 
COLOR/STYLE: 9.3 IN. X 23.6 IN. X 1.5 IN. / HARDWARE INCLUDED / 30LB CAPACITY
INTERNET: #320262956
MODEL: #323749
STORE SKU: #1007612368
VENDOR: HOME DEPOT
PRICE: $138</t>
  </si>
  <si>
    <t>ITEM: BATH 1: 2'-4"D LINEN SHELVING W 1'-0"W x 7'-0"H DOOR
MFR: CLOSETMAID
COLOR/STYLE:  20" DEEP CLOSE MESH/WHITE</t>
  </si>
  <si>
    <t>CABINET KNOBS</t>
  </si>
  <si>
    <t>ITEM: LAUNDRY RM CABINET KNOBS
MFR: ARTNCRAFT
COLOR/STYLE: MULTI-COLORED HAND PAINTED CERAMIC KNOBS CABINET DRAWER PULL - 1.75"L X 1.5"W
NUMBER: B07WDKPSCX
VENDOR: AMAZON
PRICE: $12.90 / 12 PACK</t>
  </si>
  <si>
    <t>A101-A401</t>
  </si>
  <si>
    <r>
      <t>ITEM: BUILT-IN MICROWAVE DRAWER
MFR: SHARP
TYPE: CUTOUT DIMENSIONS:  15 9/16” H X 22 1/8” W
COLOR/STYLE: 24 INCH MICROWAVE DRAWER WITH 1.2 CU. FT. CAPACITY, 950 COOKING WATTS
NUMBER: SMD2470ASY
VENDOR: APPLIANCE CONNECTION
PRICE: $1,297</t>
    </r>
    <r>
      <rPr>
        <sz val="10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NOTE:</t>
    </r>
    <r>
      <rPr>
        <sz val="10"/>
        <rFont val="Calibri"/>
        <family val="2"/>
        <scheme val="minor"/>
      </rPr>
      <t xml:space="preserve"> IF TOP OF OVEN CABINET DRAWER DOES NOT SUFFICIENTLY ALIGN W/ ADJACENT DRAWER HEAD OPTION TO ORDER REPLACEMENT DAWER FACE TO MATCH BASE CABINET</t>
    </r>
  </si>
  <si>
    <t>KITCHEN DOOR &amp; DRAWER HARDWARES</t>
  </si>
  <si>
    <t>ITEM:  KITCHEN CABINET DOOR* HARDWARE, TYP. U..O.N.
MFR: RICHELIEU
TYPE: 2-3/4 INCH LONG FINGER CABINET PULL
COLOR/STYLE: CHAMPAGNE BRONZE / 
CONFIRM MATCH W/ PLUMBING &amp; ELECTRICAL FIXTURES
NUMBER: BP989850CHBRZ
VENDOR: BUILD.COM
PRICE: $5.45 EA.</t>
  </si>
  <si>
    <t>ITEM:  KITCHEN CABINET DRAWER HARDWARE, TYP. U..O.N.
MFR: RICHELIEU
TYPE: 5-13/16 INCH LONG FINGER CABINET PULL
COLOR/STYLE: CHAMPAGNE BRONZE / 
CONFIRM MATCH W/ PLUMBING &amp; ELECTRICAL FIXTURES
NUMBER: BP9898128CHBRZ / 
ITEM: # BCI3275593
VENDOR: BUILD.COM
PRICE: $6.61 EA.</t>
  </si>
  <si>
    <t>CONTINUOUS SEALANT AT DOORS</t>
  </si>
  <si>
    <t>CONTINUOUS SEALANT AT WINDOWS</t>
  </si>
  <si>
    <t>EXTERIOR TRIM AT DOORS</t>
  </si>
  <si>
    <t>EXTERIOR TRIM AT WINDOWS</t>
  </si>
  <si>
    <t>INTERIOR DOOR</t>
  </si>
  <si>
    <t>2'-0"W x 7'-0"H SOLID CORE MASONITE WOOD DOOR W/ FRAME</t>
  </si>
  <si>
    <t>2'-4"W x 7'-0"H SOLID CORE MASONITE WOOD POCKET DOOR W/ FRAME</t>
  </si>
  <si>
    <t>2'-6"W x 7'-0"H SOLID CORE MASONITE WOOD POCKET DOOR W/ FRAME</t>
  </si>
  <si>
    <t>2'-8"W x 7'-0"H SOLID CORE MASONITE WOOD DOOR W/ FRAME</t>
  </si>
  <si>
    <t>3'-0"W x 7'-0"H SOLID CORE MASONITE WOOD DOOR W/ FRAME</t>
  </si>
  <si>
    <r>
      <t xml:space="preserve">3'-0"W x 7'-0"H SOLID CORE MASONITE WOOD DOOR W/ FRAME_x000D_
</t>
    </r>
    <r>
      <rPr>
        <b/>
        <sz val="10"/>
        <rFont val="Calibri"/>
        <family val="2"/>
        <scheme val="minor"/>
      </rPr>
      <t xml:space="preserve">NOTE: </t>
    </r>
    <r>
      <rPr>
        <sz val="10"/>
        <rFont val="Calibri"/>
        <family val="2"/>
        <scheme val="minor"/>
      </rPr>
      <t>VERIFY W/ ELEVATOR MANUFACTURER</t>
    </r>
  </si>
  <si>
    <t>POWDER ROOM 2 &amp; 1-4 INT: 2'-0"W x 4'-0"H SOLID CORE MASONITE WOOD DOOR W/ FRAME</t>
  </si>
  <si>
    <t>POWDER ROOM 2 &amp; 1-4 INT: 2'-4"W x 6'-6"H SOLID CORE MASONITE WOOD DOOR W/ FRAME</t>
  </si>
  <si>
    <r>
      <rPr>
        <b/>
        <sz val="10"/>
        <rFont val="Calibri"/>
        <family val="2"/>
        <scheme val="minor"/>
      </rPr>
      <t>E:</t>
    </r>
    <r>
      <rPr>
        <sz val="10"/>
        <rFont val="Calibri"/>
        <family val="2"/>
        <scheme val="minor"/>
      </rPr>
      <t xml:space="preserve"> 8'-5/8"W x 7'-11-1/2"H GLASS SLIDING DOOR W/ FRAME</t>
    </r>
  </si>
  <si>
    <r>
      <rPr>
        <b/>
        <sz val="10"/>
        <rFont val="Calibri"/>
        <family val="2"/>
        <scheme val="minor"/>
      </rPr>
      <t>G:</t>
    </r>
    <r>
      <rPr>
        <sz val="10"/>
        <rFont val="Calibri"/>
        <family val="2"/>
        <scheme val="minor"/>
      </rPr>
      <t xml:space="preserve"> 2'-7-7/16"W x 7'-11-1/2"H INSWING GLASS DOOR</t>
    </r>
  </si>
  <si>
    <r>
      <rPr>
        <b/>
        <sz val="10"/>
        <rFont val="Calibri"/>
        <family val="2"/>
        <scheme val="minor"/>
      </rPr>
      <t>I:</t>
    </r>
    <r>
      <rPr>
        <sz val="10"/>
        <rFont val="Calibri"/>
        <family val="2"/>
        <scheme val="minor"/>
      </rPr>
      <t xml:space="preserve"> 2'-4"W x 7'-11-1/2"H INSWING GLASS DOOR W/ FRAME</t>
    </r>
  </si>
  <si>
    <r>
      <rPr>
        <b/>
        <sz val="10"/>
        <rFont val="Calibri"/>
        <family val="2"/>
        <scheme val="minor"/>
      </rPr>
      <t xml:space="preserve">L: </t>
    </r>
    <r>
      <rPr>
        <sz val="10"/>
        <rFont val="Calibri"/>
        <family val="2"/>
        <scheme val="minor"/>
      </rPr>
      <t>9'-1-15/32" x 7'-11-1/2"H CONTEMPORARY PANELS BI-FOLDING GLASS DOOR W/ FRAME</t>
    </r>
  </si>
  <si>
    <r>
      <rPr>
        <b/>
        <sz val="10"/>
        <rFont val="Calibri"/>
        <family val="2"/>
        <scheme val="minor"/>
      </rPr>
      <t>M:</t>
    </r>
    <r>
      <rPr>
        <sz val="10"/>
        <rFont val="Calibri"/>
        <family val="2"/>
        <scheme val="minor"/>
      </rPr>
      <t xml:space="preserve"> 3'-1-1/6"W x 7'-11-1/2"H INSWING FRENCH GLASS DOOR W/ FRAME</t>
    </r>
  </si>
  <si>
    <r>
      <rPr>
        <b/>
        <sz val="10"/>
        <rFont val="Calibri"/>
        <family val="2"/>
        <scheme val="minor"/>
      </rPr>
      <t>N:</t>
    </r>
    <r>
      <rPr>
        <sz val="10"/>
        <rFont val="Calibri"/>
        <family val="2"/>
        <scheme val="minor"/>
      </rPr>
      <t xml:space="preserve"> 9'-1-15/32" x 8'-11-1/2"H CONTEMPORARY PANELS BI-FOLDING GLASS DOOR W/ FRAME</t>
    </r>
  </si>
  <si>
    <r>
      <rPr>
        <b/>
        <sz val="10"/>
        <rFont val="Calibri"/>
        <family val="2"/>
        <scheme val="minor"/>
      </rPr>
      <t xml:space="preserve">O: </t>
    </r>
    <r>
      <rPr>
        <sz val="10"/>
        <rFont val="Calibri"/>
        <family val="2"/>
        <scheme val="minor"/>
      </rPr>
      <t>12'-0-51/64" x 7'-11-1/2"H CONTEMPORARY PANELS BI-FOLDING GLASS DOOR W/ FRAME</t>
    </r>
  </si>
  <si>
    <t>3'-0"W x 8'-0"H NEW GLASS DOOR W/ FRAME</t>
  </si>
  <si>
    <t>BILCO STYLE DOOR</t>
  </si>
  <si>
    <t>(2) 1'-10"W x 2'-10"H NEW METAL BILCO STYLE DOORS W/ INTERIOR LOCK POWDER COAT</t>
  </si>
  <si>
    <t>SHUTTER DOORS</t>
  </si>
  <si>
    <t>CASED OPENINGS</t>
  </si>
  <si>
    <t>2'-6"W x 7'-0"H CASED OPENING</t>
  </si>
  <si>
    <t>HARDWARE</t>
  </si>
  <si>
    <t>ITEM: DOOR STOPS-BASE
MFR: KWIKSET
TYPE: 4" HEAVY DUTY RIGID STOP / MATCH DOOR HARDWARE
VENDOR: BK HARDWARE</t>
  </si>
  <si>
    <t>ITEM: DOOR STOPS-HINGE
MFR: KWIKSET
TYPE: 4" HEAVY DUTY RIGID STOP / MATCH DOOR HARDWARE
VENDOR: BK HARDWARE</t>
  </si>
  <si>
    <t>WINDOWS</t>
  </si>
  <si>
    <r>
      <rPr>
        <b/>
        <sz val="10"/>
        <rFont val="Calibri"/>
        <family val="2"/>
        <scheme val="minor"/>
      </rPr>
      <t>A:</t>
    </r>
    <r>
      <rPr>
        <sz val="10"/>
        <rFont val="Calibri"/>
        <family val="2"/>
        <scheme val="minor"/>
      </rPr>
      <t xml:space="preserve"> 3'-0"W x 4'-11-1/8"H STC GLASS CASEMENT WINDOW</t>
    </r>
  </si>
  <si>
    <r>
      <rPr>
        <b/>
        <sz val="10"/>
        <rFont val="Calibri"/>
        <family val="2"/>
        <scheme val="minor"/>
      </rPr>
      <t>B:</t>
    </r>
    <r>
      <rPr>
        <sz val="10"/>
        <rFont val="Calibri"/>
        <family val="2"/>
        <scheme val="minor"/>
      </rPr>
      <t xml:space="preserve"> 3'-0"W x 4'-7-1/8"H STC GLASS EGRESS CASEMENT WINDOW</t>
    </r>
  </si>
  <si>
    <r>
      <rPr>
        <b/>
        <sz val="10"/>
        <rFont val="Calibri"/>
        <family val="2"/>
        <scheme val="minor"/>
      </rPr>
      <t xml:space="preserve">C: </t>
    </r>
    <r>
      <rPr>
        <sz val="10"/>
        <rFont val="Calibri"/>
        <family val="2"/>
        <scheme val="minor"/>
      </rPr>
      <t>2'-4"W x 4'-11-1/8"H STC GLASS CASEMENT WINDOW</t>
    </r>
  </si>
  <si>
    <r>
      <rPr>
        <b/>
        <sz val="10"/>
        <rFont val="Calibri"/>
        <family val="2"/>
        <scheme val="minor"/>
      </rPr>
      <t>D:</t>
    </r>
    <r>
      <rPr>
        <sz val="10"/>
        <rFont val="Calibri"/>
        <family val="2"/>
        <scheme val="minor"/>
      </rPr>
      <t xml:space="preserve"> 3'-0"W x 1'-7-1/8"H TEMPERED GLASS AWNING WINDOW</t>
    </r>
  </si>
  <si>
    <r>
      <rPr>
        <b/>
        <sz val="10"/>
        <rFont val="Calibri"/>
        <family val="2"/>
        <scheme val="minor"/>
      </rPr>
      <t>F1:</t>
    </r>
    <r>
      <rPr>
        <sz val="10"/>
        <rFont val="Calibri"/>
        <family val="2"/>
        <scheme val="minor"/>
      </rPr>
      <t xml:space="preserve"> 2'-11-1/4"W x 5'-3-1/2"H DOUBLE HUNG EGRESS GLASS WINDOW</t>
    </r>
  </si>
  <si>
    <r>
      <rPr>
        <b/>
        <sz val="10"/>
        <rFont val="Calibri"/>
        <family val="2"/>
        <scheme val="minor"/>
      </rPr>
      <t>F2:</t>
    </r>
    <r>
      <rPr>
        <sz val="10"/>
        <rFont val="Calibri"/>
        <family val="2"/>
        <scheme val="minor"/>
      </rPr>
      <t xml:space="preserve"> 2'-11-1/4"W x 5'-3-1/2"H DOUBLE HUNG GLASS WINDOW</t>
    </r>
  </si>
  <si>
    <r>
      <rPr>
        <b/>
        <sz val="10"/>
        <rFont val="Calibri"/>
        <family val="2"/>
        <scheme val="minor"/>
      </rPr>
      <t>F:</t>
    </r>
    <r>
      <rPr>
        <sz val="10"/>
        <rFont val="Calibri"/>
        <family val="2"/>
        <scheme val="minor"/>
      </rPr>
      <t xml:space="preserve"> 2'-7-1/4"W x 3'-11-1/2"H DOUBLE HUNG GLASS WINDOW</t>
    </r>
  </si>
  <si>
    <r>
      <rPr>
        <b/>
        <sz val="10"/>
        <rFont val="Calibri"/>
        <family val="2"/>
        <scheme val="minor"/>
      </rPr>
      <t>H:</t>
    </r>
    <r>
      <rPr>
        <sz val="10"/>
        <rFont val="Calibri"/>
        <family val="2"/>
        <scheme val="minor"/>
      </rPr>
      <t xml:space="preserve"> 2'-8"W x 1'-7-1/8"H AWNING GLASS WINDOW</t>
    </r>
  </si>
  <si>
    <r>
      <rPr>
        <b/>
        <sz val="10"/>
        <rFont val="Calibri"/>
        <family val="2"/>
        <scheme val="minor"/>
      </rPr>
      <t>J:</t>
    </r>
    <r>
      <rPr>
        <sz val="10"/>
        <rFont val="Calibri"/>
        <family val="2"/>
        <scheme val="minor"/>
      </rPr>
      <t xml:space="preserve"> 2'-0"W x 6'-11-1/8"H CASEMENT PICTURE GLASS WINDOW</t>
    </r>
  </si>
  <si>
    <r>
      <rPr>
        <b/>
        <sz val="10"/>
        <rFont val="Calibri"/>
        <family val="2"/>
        <scheme val="minor"/>
      </rPr>
      <t>K:</t>
    </r>
    <r>
      <rPr>
        <sz val="10"/>
        <rFont val="Calibri"/>
        <family val="2"/>
        <scheme val="minor"/>
      </rPr>
      <t xml:space="preserve"> 2'-0"W x 1'-5-1/8"H AWNING GLASS WINDOW_x000D_
NOTE: ESSENTIAL EBONY EXTERIOR STONE WHITE INTERIOR &amp; WHITE HARDWARE.</t>
    </r>
  </si>
  <si>
    <t>SKYLIGHTS</t>
  </si>
  <si>
    <t>A101-A102</t>
  </si>
  <si>
    <t>3'-11" x 2'-0" SKYLIGHT VELUX CURB MOUNTED SKYLIGHT</t>
  </si>
  <si>
    <t>4'-2" x 2'-10" WALKABLE SKYLIGHTS</t>
  </si>
  <si>
    <t xml:space="preserve">ITEM: KITCHEN CONCEALLED SHELF BRACKETS
MFR: ULTRASHELF OR EQ.
TYPE: STUDLOCK DIY BRACKET
COLOR/STYLE: FOR USE W/ 1 1/2" - 1 3/4" THICK SHELVES / 50LB CAPACITY PER STUD @ 16" O.C. / COORD. BRACKET LENGTH AND SUPPORT ROD DEPTH WITH ELEVATIONS
VENDOR: ULTRASHELF.COM OR EQ. </t>
  </si>
  <si>
    <t>ITEM: POWDER RM 1 &amp; 2 - MIRROR
MFR: IKEA
TYPE: LINDBYN
COLOR/STYLE: MATTE BLACK ALUM. FRAME &amp; SHELF / 15 3/4" W X 31 1/2" H X 4 7/8" D
NUMBER: 405.073.18
VENDOR: IKEA
PRICE: $60</t>
  </si>
  <si>
    <t>ITEM: POWDER RM 1 &amp; 2 - TP HOLDER
MFR: IKEA
TYPE: SKOGSVIKEN
COLOR/STYLE: MATTE BLACK STEEL / 5" W X 3 1/4" D
NUMBER: 204.238.24
VENDOR: IKEA
PRICE: $6</t>
  </si>
  <si>
    <t>ITEM: POWDER RM 1 &amp; 2 - TOWEL RAIL
MFR: IKEA
TYPE: SKOGSVIKEN
COLOR/STYLE: MATTE BLACK STEEL / 23 ½"W X 4" D
NUMBER: 604.238.22
VENDOR: IKEA
PRICE: $12</t>
  </si>
  <si>
    <t>ITEM: BATH 1 - MIRROR
MFR: BETTER BEVEL
COLOR/STYLE: 30 DIA. RUBBER FRAMED ROUND BATHROOM VANITY MIRROR IN GREY - INSTALLATION HARDWARE INCLUDED
INTERNET #313347018
MODEL: #19007
STORE SKU: #1005411706
VENDOR: HOME DEPOT
PRICE: $116</t>
  </si>
  <si>
    <t>ITEM: BATH 2&amp;3 - MIRROR
MFR: IKEA
TYPE: LETTAN
COLOR/STYLE: FRAMELESS W/ METAL CLIPS / 311/2" W X 37 3/4"H
NUMBER: 804.353.10
VENDOR: IKEA
PRICE: $40</t>
  </si>
  <si>
    <t>ITEM: BATH 1-3 - TP: TISSUE PAPER HOLDER
MFR: GATCO
TYPE: FORM SERIES (SQ. MOUNTING PLATE TO MATCH SCONCES)
COLOR/STYLE: POLISHED CHROME / 8.5"W  X 2.5" D 
INTERNET: #313430132
MODEL: #5333
STORE SKU: #1005471261
VENDOR: HOME DEPOT
PRICE: $17</t>
  </si>
  <si>
    <t>ITEM: BATH 4: - TP: TISSUE PAPER HOLDER
MFR: GATCO
TYPE: FORM SERIES (SQ. MOUNTING PLATE TO MATCH SCONCES)
COLOR/STYLE: POLISHED CHROME / 8.5"W  X 2.5" D 
INTERNET: #313430132
MODEL: #5333
STORE SKU: #1005471261
VENDOR: HOME DEPOT
PRICE: $17</t>
  </si>
  <si>
    <t>ITEM: BATH 1-3 - TOWEL RING
MFR: GATCO
TYPE: FORM SERIES (SQ. MOUNTING PLATE TO MATCH SCONCES)
COLOR/STYLE: POLISHED CHROME / 6.5"W   X 7.3" H 
INTERNET: #313430067
MODEL: #5332
STORE SKU: #1005471263
VENDOR: HOME DEPOT
PRICE: $17</t>
  </si>
  <si>
    <t>ITEM: BATH 4:  TOWEL RING
MFR: GATCO
TYPE: FORM SERIES (SQ. MOUNTING PLATE TO MATCH SCONCES)
COLOR/STYLE: POLISHED CHROME / 6.5"W   X 7.3" H 
INTERNET: #313430067
MODEL: #5332
STORE SKU: #1005471263
VENDOR: HOME DEPOT
PRICE: $17</t>
  </si>
  <si>
    <t>ITEM: BATH 1-3 - 24" TOWEL BAR
MFR: GATCO
TYPE: FORM SERIES (SQ. MOUNTING PLATE TO MATCH SCONCES)
COLOR/STYLE: POLISHED CHROME / 24"W  X 2.5" D 
INTERNET: #313430002
MODEL: #5330
STORE SKU: #1005471256
VENDOR: HOME DEPOT
PRICE: $23</t>
  </si>
  <si>
    <t>ITEM: BATH 4: - 24" TOWEL BAR
MFR: GATCO
TYPE: FORM SERIES (SQ. MOUNTING PLATE TO MATCH SCONCES)
COLOR/STYLE: POLISHED CHROME / 24"W  X 2.5" D 
INTERNET: #313430002
MODEL: #5330
STORE SKU: #1005471256
VENDOR: HOME DEPOT
PRICE: $23</t>
  </si>
  <si>
    <t>ITEM: BATH 1-3 - ROBE HOOK
MFR: GATCO
TYPE: FORM SERIES (SQ. MOUNTING PLATE TO MATCH SCONCES)
COLOR/STYLE: POLISHED CHROME / 2.5" SQUARE
INTERNET: #313430143
MODEL: #5335
STORE SKU: #1005471265
VENDOR: HOME DEPOT
PRICE: $11</t>
  </si>
  <si>
    <t>ITEM: BATH 4: - ROBE HOOK
MFR: GATCO
TYPE: FORM SERIES (SQ. MOUNTING PLATE TO MATCH SCONCES)
COLOR/STYLE: POLISHED CHROME / 2.5" SQUARE
INTERNET: #313430143
MODEL: #5335
STORE SKU: #1005471265
VENDOR: HOME DEPOT
PRICE: $11</t>
  </si>
  <si>
    <t>ITEM: BATH 4 - MIRROR
MFR: KOONMI
COLOR/STYLE: MATTE GOLD ALUM. FRAME W/ BEVELED EDGES / 26" W X 38" H - INSTALLATION HARDWARE INCLUDED
NUMBER: INTERNET #322170918
MODEL: #FXYJ2638GD
STORE SKU: #1008354757
VENDOR: HOME DEPOT
PRICE: $99</t>
  </si>
  <si>
    <t>ITEM: BATH 4 - HARDWARE SET
MFR: BOYEL LIVING
COLOR/STYLE: SS W/ BLACK AND GOLD FINISH &amp; CONCEALLED FASTENERS / 24" TB, 9" HANDTOWEL BAR, 6" TOILET BAR, &amp; ROBE HOOK
INTERNET: #317110958
MODEL: #BLTR0264-BGSTORE
SKU: #1006408480
VENDOR: HOME DEPOT
PRICE: $75</t>
  </si>
  <si>
    <t>ITEM: BATH 1: 5'-0" SHOWER ROD
MFR: MOEN
TYPE: 5' ADJUSTABLE - MODIFY LENGTH AS REQ'D FOR SHOWERS - TENSION ROD / 1" DIA.
COLOR/STYLE: POLISHED CHROME
NUMBER: 52-F FLANGE
VENDOR: FERGUSON</t>
  </si>
  <si>
    <t>ITEM: BATH 3: - 2'-4"W x 6'-0"H SHOWER DOOR
MFR: KOHLER
TYPE: REVEL SERIES
COLOR/STYLE: FRAMELESS PIVOT SHOWER DOOR, 70" H X (31-1/8 - 36") W, WITH 5/16" THICK CRYSTAL CLEAR GLASS / VERTICAL HANDLE / BRIGHT POLISHED SILVER
NUMBER: K-707511-L-SHP
VENDOR: FERGUSON
PRICE: $574</t>
  </si>
  <si>
    <t>ITEM: BATH 2: - 2'-4"W x 6'-0"H SHOWER DOOR
MFR: KOHLER
TYPE: REVEL SERIES
COLOR/STYLE: FRAMELESS PIVOT SHOWER DOOR, 70" H X (39-1/8 - 44") W, WITH 5/16" THICK CRYSTAL CLEAR GLASS / VERTICAL HANDLE / BRIGHT POLISHED SILVER
NUMBER: K-707541-L-SHP
VENDOR: FERGUSON
PRICE: $601</t>
  </si>
  <si>
    <t>ITEM: BATH 4: - 2'-4"W x 6'-0"H SHOWER DOOR
MFR: VIGO
TYPE: PIROUETTE COLLECTION
COLOR/STYLE: 72" HIGH X 42" WIDE HINGED FRAMELESS SHOWER DOOR (34.75" W) W/ 3/8" CLEAR GLASS / MATTE BLACK HARDWARE
NUMBER: VG6042MBCL42
VENDOR: BUILD.COM
PRICE: $900</t>
  </si>
  <si>
    <t>ITEM: DRESSING ROOM MIRROR 
MFR: BUYER PROVIDED
COLOR/STYLE: 37" W X 75"H X 2" D - WOOD FRAMED</t>
  </si>
  <si>
    <t>COAT HOCKS</t>
  </si>
  <si>
    <t>ITEM: VESTIBULE &amp; MUDROOM COAT HOOKS
MFR: AMBIPOLAR
TYPE: PREMIUM DESIGN "COMMANDER" HEAVY DUTY DOUBLE HOOKS
COLOR/STYLE: 5 PACK / OIL RUBBED BRONZE / CONCEALED HARDWARE / 55LB CAPACITY
NUMBER: AMBC5ORB
VENDOR: AMAZON
PRICE: $22 / 5 PACK</t>
  </si>
  <si>
    <r>
      <rPr>
        <b/>
        <sz val="10"/>
        <rFont val="Calibri"/>
        <family val="2"/>
        <scheme val="minor"/>
      </rPr>
      <t xml:space="preserve">NOTE: </t>
    </r>
    <r>
      <rPr>
        <sz val="10"/>
        <rFont val="Calibri"/>
        <family val="2"/>
        <scheme val="minor"/>
      </rPr>
      <t>VESTIBULE &amp; MUDROOM STAGGERED COAT HOOKS W/ CONCEALED FASTENERS INSTALL MUDROOM HOOKS AT MATCHING HEIGHTS</t>
    </r>
  </si>
  <si>
    <t>MAILBOX, HOUSE NUMBER &amp; DOORBELL HARDWARES</t>
  </si>
  <si>
    <t>A101-A102-A201</t>
  </si>
  <si>
    <t>ITEM: MAILBOX
MFR: KLASSEN BRONZE LIMITED
COLOR/STYLE: BLACK CONTEMPORARY LOCKING MAILBOX - 13.25" W X 18" H /. LARGE CAPACITY
NUMBER: INTERNET #312857585
MODEL: #MS26901
STORE SKU: #1005235525
VENDOR: HOME DEPOT
PRICE: $60</t>
  </si>
  <si>
    <t>ITEM: HOUSE NUMBERS
MFR: EVERBILT
COLOR/STYLE: 5" DISTINCTIONS ELEVATED / BLACK FINISH / FLOATING MOUNT
NUMBER: SKU#1003111453 / VARIES PER NUMBER
VENDOR: HOME DEPOT
PRICE: $9.64EA.</t>
  </si>
  <si>
    <t>ITEM: DOORBELL
MFR: BALDWIN
TYPE: WIRED / ROUND
COLOR/STYLE: SATIN BLACK
SKU: 4851-190
VENDOR: BALDWIN HARDWARE
PRICE: $29</t>
  </si>
  <si>
    <t>A101-A102-A401</t>
  </si>
  <si>
    <t xml:space="preserve">ITEM: 36" COOKTOP W/ TELESCOPING DOWNDRAFT VENT
MFR: CAFE
COLOR/STYLE: 36" SMART TOUCH-CONTROL INDUCTION COOKTOP / 5 ELEMENT / FLAGSTONE GRAY
NUMBER: CHP95362MSS 
PRICE: $2,999 </t>
  </si>
  <si>
    <t>ITEM: COOKTOP VENT
MFR: VIKING
TYPE: 5 SERIES / 4 SPEED
COLOR/STYLE: 36” PRO-STYLE DOWNDRAFT VENT / SS FINISH
NUMBER: VDD5360SS
VENDOR: 
PRICE: $2,699</t>
  </si>
  <si>
    <t>ITEM: COOKTOP FAN
MFR: VIKING
TYPE: 600 CFM - INTERNAL FLEX BLOWER
COLOR/STYLE: USE W/ ABOVE VENT
NUMBER: VDV1600
PRICE: $649</t>
  </si>
  <si>
    <t>ITEM: WALL OVEN - STEAM OVEN
MFR: MIELE
TYPE: 23 1/2 W X 23 1/2 H X 22 3/8 D
COLOR/STYLE: 24" COMBI-STEAM OVEN XXL WITH DIRECTWATER / CLEAN TOUCH STEEL
NUMBER: DGC 7865 AM 
PRICE: $6,599</t>
  </si>
  <si>
    <t>ITEM: WALL OVEN - STEAM OVEN
MFR: MIELE
COLOR/STYLE: 24" COMPACT SPEED OVEN/ CLEAN TOUCH STEEL
NUMBER: 7840 BM AM
PRICE: $4,399</t>
  </si>
  <si>
    <t>ITEM: MICROWAVE ACCESSORY
MFR: SHARP
COLOR/STYLE: 24" FLUSH MOUNT DEFLECTOR VENT
NUMBER: SKMD24F0AS
VENDOR: APPLIANCE CONNECTION
PRICE: $59</t>
  </si>
  <si>
    <t xml:space="preserve">ITEM: REFRIGERATOR / FREEZER
MFR: FRIGIDAIRE PROFESSIONAL
TYPE: 66" SIDE-BY-SIDE PAIR
COLOR/STYLE: FPRU19F8WF ALL REFRIGERATOR AND FPFU19F8WF ALL FREEZER WITH 79" HEIGHT DUAL TRIM LOUVERED GRILLE TRMKTEZ2LV79 &amp; PAIRING KIT TWINSPAIRKIT / SMUDGE PROOF SS
NUMBER: 1241025
VENDOR: APPLIANCE CONNECTION
PRICE: $7,305 </t>
  </si>
  <si>
    <t xml:space="preserve">ITEM: DISHWASHERS
MFR: BOSCH
COLOR/STYLE: 800 SERIES 24 IN. STAINLESS STEEL TOP CONTROL TALL TUB DISHWASHER WITH STAINLESS STEEL TUB, CRYSTAL DRY, 42DBA / POCKET HANDLE
NUMBER: INTERNET #310500138 MODEL #SHPM78Z55N STORE SKU #1004610596 STORE SO SKU #1004567433
VENDOR: HOME DEPOT
PRICE: $1,299 </t>
  </si>
  <si>
    <t>ITEM: WASHER &amp; SIDEKICK PEDESTAL 
MFR: LG
TYPE: SMART (WI-FI ENABLED) SIDE BY SIDE FRONT LOAD LAUNDRY / WHITE
COLOR/STYLE: WM4200HWA 27"W X 39"H X 33 1/4"D WASHER (5CUFT) &amp; WD100CW SIDEKICK 27" X 14 1/8" X 30 3/4"
VENDOR: APPLIANCE CONNECTION</t>
  </si>
  <si>
    <t>ITEM: DRYER - VENTLESS
MFR: WHIRLPOOL
TYPE: WHITE
COLOR/STYLE: VENTLESS ELECTRIC DRYER / 7.4 CU. FT. / 27" W X 39" H X 31" D
NUMBER: WHD560CH
PRICE: $1,419</t>
  </si>
  <si>
    <t>ITEM: DRYER - PEDESTAL
MFR: WHIRLPOOL
TYPE: WHITE
COLOR/STYLE:27" W X 15.5" H X 27 5/16" D BASE W/ STORAGE
NUMBER: WFP2715HW
PRICE: $250</t>
  </si>
  <si>
    <t>ITEM: KITCHEN - MAIN 
MFR: MSI Q STONE
TYPE: QUARTZ- 3CM/ POLISHED / EASED EDGE
COLOR/STYLE: ARCTIC WHITE / GROUP 2  FOSSIL GRAY / GROUP 2  SHADOW GRAY / GROUP 3
VENDOR: UNLIMITED STONE LLC</t>
  </si>
  <si>
    <t>ITEM: KITCHEN - ISLAND 
MFR: MSI Q STONE
TYPE: QUARTZ- 3CM/ POLISHED / EASED EDGE
COLOR/STYLE:SOAPSTONE MIST OR CONCERTO (WARM GRAY) / GROUP
VENDOR: UNLIMITED STONE LLC</t>
  </si>
  <si>
    <t>ITEM: LAUNDRY
MFR: WILSONART / FORMICA
TYPE: LAUNDRY COUNTERTOP: 1-1/2"LAMINATE COUNTERTOP W/ EDGE BANDING TO MATCH SURFACE
COLOR/STYLE: TBD - AWAITING TILE SAMPLES TO COORDINATE
NUMBER: TBD</t>
  </si>
  <si>
    <t>KITCHEN ISLAND</t>
  </si>
  <si>
    <t>8'-0" x 6'-6" KITCHEN ISLAND
MFR: MSI Q STONE
TYPE: QUARTZ- 3CM/ POLISHED / EASED EDGE
COLOR/STYLE:SOAPSTONE MIST OR CONCERTO (WARM GRAY) / GROUP
VENDOR: UNLIMITED STONE LLC</t>
  </si>
  <si>
    <t>BACKSPLASH</t>
  </si>
  <si>
    <t>ITEM: KITCHEN BACKSPLASH TILE
MFR: ANGELA HARRIS
TYPE: DUNMORE SERIES / SONATA DECOR
COLOR/STYLE: 8 X 8 X 5/16 POLISHED CERAMIC WALL TILE (25 ASSORTED DESIGNS PER BOX) -INSTALLED IN RANDOM ARRANGEMENT
VENDOR: TILE BAR
LIST PRICE: $9.95/SF</t>
  </si>
  <si>
    <t>ITEM: LAUNDRY BACKSPLASH TILE
MFR: ROCA
TYPE: MAIOLICA FLOOR
COLOR/STYLE: 8 X 8 X 8.2MM / COTO PATTERN
NUMBER: MAIDF295-88
VENDOR: MORRIS TILE
PRICE: $6/SF</t>
  </si>
  <si>
    <t xml:space="preserve">ITEM: LAUNDRY BACKSPLASH TRIM
MFR: ROCA
TYPE: MAIOLICA FLOOR
COLOR/STYLE: 8X8X8.2MM/ COTO
NUMBER: MAIF295-88
VENDOR: MORRIS TILE
PRICE: $6/SF </t>
  </si>
  <si>
    <t>FITTINGS</t>
  </si>
  <si>
    <t>ITEM: GARBAGE DISPOSAL 
MFR: BADGER
TYPE: 1/3 HP MIN.
NUMBER: IBADGER1
VENDOR: FERGUSON</t>
  </si>
  <si>
    <t>ITEM: KITCHEN SINK - MAIN
MFR: SINKOLOGY
TYPE: AUSTEN / FARMHOUSE APRON FRONT/ SINGLE BOWL 
COLOR/STYLE: 0-HOLE / 33" X 18" X 10" / BOWL DIMS: +- 31" X 16" X 9" / CRISP WHITE FIRECLAY / INSTALL DRAIN TO MATCH FAUCET FINISH
MODEL #SK493-33FC
VENDOR: LOWE'S / HOME DEPOT 
PRICE: $399</t>
  </si>
  <si>
    <t>ITEM: KITCHEN SINK - ISLAND
MFR: MR DIRECT SINGLE - UNDERMOUNT
TYPE: 17-3/4" X 16-7/8" X 7-3/4"  / 15 1/4"X 14-1/2" X 7-3/4" BOWL SIZE
COLOR/STYLE: 80% QUARTZ AND 20% ACRYLIC. / 0-HOLE
NUMBER: 805-WHITE
VENDOR: MR DIRECT
PRICE: $211</t>
  </si>
  <si>
    <t>ITEM: POWDER RM 1 CANSOLE SINK
MFR: SWISS MADISON
TYPE: CLAIRE 24 IN. CONSOLE 
SINK WHITE CERAMIC BASIN &amp; BRUSHED GOLD LEGS
COLOR/STYLE: D: 16 1/2” X W: 24” X H: 35 3/8"
NUMBER: INTERNET #320473275 MODEL #SM-CS721BGSTORE SKU #1007829921
VENDOR: HOME DEPOT
PRICE: $301</t>
  </si>
  <si>
    <t>ITEM: TOILET, ALL U.O.N.
MFR: SWISS MADISON
TYPE: SUBLIME II
COLOR/STYLE: 1-PIECE 1.1/1.6 GPF DUAL FLUSH ELONGATED ALL-IN-ONETOILET IN WHITE / SOFT-CLOSE SEAT 
NUMBER: INTERNET #303804149 MODEL #SM-1T257 STORE SO SKU #1002865015
VENDOR: HOME DEPOT
PRICE: $245</t>
  </si>
  <si>
    <t>ITEM: PWDER RM 1 &amp; 2 TOILET
MFR: WOODBRIDGE
TYPE: TANGO
COLOR/STYLE: 1-PIECE 1.0/1.6 GPF DUAL FLUSH ELONGATED ALL-IN-ONETOILET IN WHITE / SOFT-CLOSE SEAT 
NUMBER: INTERNET #303804149 MODEL #SM-1T257 STORE SO SKU #1002865015
VENDOR: HOME DEPOT
PRICE: $283</t>
  </si>
  <si>
    <t>ITEM: BATH 4 TOILET
MFR: GEBERIT
TYPE: ICERA KARO
COLOR/STYLE: 2-PIECE 0.8/1.6 GPF DUAL FLUSH ELONGATED TOILET WITH 2X6 CONCEALED TANK AND ACTUATOR PLATE IN WHITE,SOFT-CLOSE SEAT INCLUDED
NUMBER: INTERNET #316023684 MODEL #C-5170.01KIT2X6 STORESKU #1006216167
VENDOR: HOME DEPOT
PRICE: $859</t>
  </si>
  <si>
    <t>ITEM: BATH 1TUB
MFR: PRO-FLO
COLOR/STYLE: WHITE ENAMELED STEEL SOAKER ALCOVE / 30 X 60 X 14 1/4" / LEFT-HAND DRAIN
NUMBER: PFB16LWH
VENDOR: FERGUSON
PRICE: $316</t>
  </si>
  <si>
    <t xml:space="preserve">ITEM: BATH 4 / BEDROOM 5 TUB
TYPE: SALVAGED CLAWFOOT TUB / REFINISH ON SITE / SEE INTERIOR PAINT FOR EXTERIOR FINISH </t>
  </si>
  <si>
    <t>ITEM: LAUNDRY SINK
MFR: PRO-FLO
COLOR/STYLE: 24-1/2W X 22 X 13 D SELF-RIMMINGLAUNDRY SINK IN WHITE COMPOSITE MATERIAL
NUMBER: PFLT2522D 
VENDOR: FERGUSON
PRICE: $97</t>
  </si>
  <si>
    <t>WALL HUNG TOILET W/ FLUSH PANEL AS SHOWN</t>
  </si>
  <si>
    <t>FAUCETS</t>
  </si>
  <si>
    <t>ITEM: POWDER RM 1 FAUCET
MFR: SWISS MADISON
TYPE: AVALLON SINGLE-HANDLE SINGLE-HOLE BATHROOM FAUCET IN BRUSHED GOLD
COLOR/STYLE: 1.2GPM / CAN ADD ADDITIONAL AERATOR FOR LOWER FLOW
NUMBER: INTERNET #317955792 MODEL #SM-BF90BG STORE SKU #1007869633
VENDOR: HOME DEPOT
PRICE: $140</t>
  </si>
  <si>
    <t>ITEM: BATH 4 FAUCET
MFR: DELTA
TYPE: CASSIDY SERIES - TWO HANDLE WIDESPREAD BATHROOM FAUCET / CHAMPAGNE BRONZE
COLOR/STYLE: 8" CC / 1.2 GPM / WATERSENSE CERTIFIED
NUMBER: 3597LF-CZMPU-R
VENDOR: FERGUSON
PRICE: $415</t>
  </si>
  <si>
    <t>ITEM: KITCHEN FAUCET - ISLAND
MFR: DELTA
TYPE: BRODERICK PULL DOWN BAR FAUCET
COLOR/STYLE: 1.8 GPM / 1-HOLE / 14-5/8" TALL / CHAMPAGNE BRONZE
MODEL:9190-CZ-DST
VENDOR: FERGUSON
PRICE: $587</t>
  </si>
  <si>
    <t>ITEM: KITCHEN FAUCET - MAIN
MFR: DELTA
TYPE: BRODERICK PULL DOWN FAUCET W/ SHIELDSPRAY
COLOR/STYLE: 1.8 GPM / 1-HOLE / 15-5/8" TALL / CHAMPAGNE BRONZE
MODEL:9190-CZ-DST
VENDOR: FERGUSON
PRICE: $601</t>
  </si>
  <si>
    <t>ITEM: BATH 4 / BEDROOM 5 TUB FAUCET
MFR: KINGSTON BRASS
TYPE: ENGLISH COUNTRY COLLECTION 
COLOR/STYLE: FLOOR MOUNTED TUB FILLER WITH BUILT-IN DIVERTER - INCLUDES HAND SHOWER 1.8GPM / FILL RATE - 6.9GPM / SATIN BRASS
NUMBER: KS7137ABL
VENDOR: BUILD.COM
PRICE: $839</t>
  </si>
  <si>
    <t>ITEM: LAUNDRY FAUCET
MFR: PRO-FLO
COLOR/STYLE: TWO LEVER HANDLE LAUNDRY FAUCET IN POLISHED CHROME
NUMBER: PFWSC1120CP
VENDOR: FERGUSON
PRICE: $65</t>
  </si>
  <si>
    <t>TANKLESS WATER HEATER</t>
  </si>
  <si>
    <t>ITEM: TANKLESS WATER HEATER
MFR: NAVIEN / RHEEM / RINNAI OR EQ.
TYPE: ELECTRIC / CONDENSATING TANKLESS
COLOR/STYLE: TBD
NUMBER: TBD
VENDOR: TBD</t>
  </si>
  <si>
    <t xml:space="preserve">OVERFLOW PAN </t>
  </si>
  <si>
    <t>ITEM: OVERFLOW PAN - WATER HEATER
MFR: CAMCO
TYPE: ALUMINUM TANKLESS WATER HEATER DRAIN PAN WITH PVC FITTING N/A 
NUMBER: INTERNET #205681015
MODEL: #11430
VENDOR: HOME DEPOT
PRICE: $86</t>
  </si>
  <si>
    <t>ITEM: OVERFLOW PAN - LAUNDRY RM
MFR: MUSTEE OR EQ.
TYPE: DURAPAN W/ CENTER DRAIN / 32"W X 30" X 2-1/2" H
COLOR/STYLE: WHITE
NUMBER: MODEL 99
VENDOR: FERGUSON</t>
  </si>
  <si>
    <t>PIPING</t>
  </si>
  <si>
    <t>SANITARY PIPING</t>
  </si>
  <si>
    <t>1-1/2"DIA CONNECT SUMP DISCHARDE TO DOWN SPOUT PIPE</t>
  </si>
  <si>
    <t>4"DIA SANITARY LINE PIPE</t>
  </si>
  <si>
    <t>VALVES</t>
  </si>
  <si>
    <t>ITEM: BATH 1 TUB / SHWR TRIM KIT &amp; PRESSURE BALANCE VALVE
MFR: MOEN
TYPE: ALIGN POSI-TEMP / 1-HANDLE/ 1.75 GPM WATERSENSE (EP SUFFIX)
COLOR/STYLE: CHROME
NUMBER: MT2193EP / 2520 VALVE
VENDOR: FERGUSON
PRICE: $310</t>
  </si>
  <si>
    <t>ITEM: BATH 2 &amp; 3 SHWR TRIM KIT &amp; PRESSURE BALANCE VALVE
MFR: MOEN
TYPE: ALIGN POSI-TEMP / 1-HANDLE/ 1.75 GPM WATERSENSE (EP SUFFIX)
COLOR/STYLE: CHROME
NUMBER: MT2192EP / 2520 VALVE
VENDOR: FERGUSON
PRICE: $270</t>
  </si>
  <si>
    <t>ITEM: BATH 4 SHWR TRIM KIT &amp; PRESSURE BALANCE VALVE
MFR: PFISTER
TYPE: TENET COLLECTION
COLOR/STYLE: MATTE BLACK / PRESSURE BALANCED SHOWER SYSTEM WITH SHOWER 
HEAD, HAND SHOWER, SLIDE BAR, SHOWER ARM, HOSE, AND VALVE TRIM - LESS ROUGH-IN VALVE (MODEL # 0X8-340A WITH SERVICE STOPS FOR ISOLATED SHUT OFF) 
MODEL: PSK-TENET-1B
VENDOR: BUILD.COM
PRICE: $690 + $100 VALVE</t>
  </si>
  <si>
    <t>DRAIN COVER</t>
  </si>
  <si>
    <t>SNAKE EXISTING STORM DRAIN &amp; PROVIDE DRAIN COVER</t>
  </si>
  <si>
    <t>SUMP &amp; PUMP</t>
  </si>
  <si>
    <t>NEW SUMP &amp; PUMP</t>
  </si>
  <si>
    <t xml:space="preserve">CAP </t>
  </si>
  <si>
    <t>26 GA. METAL SHEET DUCTING</t>
  </si>
  <si>
    <t>1.5" THK. FIBERGLASS INSULATION AT DUCTS</t>
  </si>
  <si>
    <t>WIRING</t>
  </si>
  <si>
    <t>ITEM: RECESSED HOUSING &amp; TRIM KIT, ALL U.O.N
MFR: HALO
TYPE: HLBSL 4 IN. COLOR SELECTABLE (3 OPTION) NEW CONSTRUCTION OR REMODEL CANLESS RECESSED INTEGRATED LED KIT / SUITABLE FOR USE IN WET LOCATIONS
COLOR/STYLE: WHITE
NUMBER: INTERNET #311574836 
MODEL: #HLBSL4069FS351EMWR 
STORE SKU: #1004813932
VENDOR: HOME DEPOT
PRICE: $17</t>
  </si>
  <si>
    <t>ITEM: BATH 4 FAN
MFR: PANASONIC
TYPE: QUIET 80 OR 110 CFM CEILING DUAL SPEED EXHAUST FAN WITH MOTION SENSOR
COLOR/STYLE:  ENERGY STAR - WHITE
NUMBER: INTERNET #206110104  
MODEL: # FV-08-11VFM5
VENDOR: FERGUSON
PRICE: $150</t>
  </si>
  <si>
    <t xml:space="preserve">ITEM: BATH / POWDER RM FAN, U.O.N.
MFR: NUTONE OR EQ.
TYPE: 50 CFM
COLOR/STYLE: WHITE
NUMBER: N696N OR EQ.
VENDOR: FERGUSON
PRICE: $18 </t>
  </si>
  <si>
    <t>ITEM: EXTERIOR - SCONCE
MFR: PROGRESS
TYPE: 5IN CYL RNDS COLLECTION
COLOR/STYLE: 5" X 14" BLACK LED OUTDOOR ALUMINUM UP/DOWN WALL MOUNT CYLINDER WITH PHOTOCELL  / INTEGRATED LED (37.2W) / INSTALL APPROVED DIMMER  PER MAN. 
NUMBER: P550102-031-30
VENDOR: BUILD.COM
PRICE: $167</t>
  </si>
  <si>
    <t>BASEMENT</t>
  </si>
  <si>
    <t>1ST FLOOR</t>
  </si>
  <si>
    <t>ITEM: VESTIBULE - CEILING MOUNTED LIGHT FIXTURES
MFR: IKEA
TYPE: GRINDFALLET
COLOR/STYLE: 12" DIA STEEL CAGE / INSTALL 100W EQ. LED GLOBE BULB W/ E26 BASE
NUMBER: 405.049.99
VENDOR: IKEA
PRICE: $35</t>
  </si>
  <si>
    <t>ITEM: KITCHEN - PENDANT CEILING MOUNTED LIGHT FIXTURES
MFR: PROGRESS
TYPE: MITCHELLA 1-LIGHT VINTAGE BRASS PENDANT WITH CLEAR GLASS GLOBE SHADE
COLOR/STYLE: 12" DIA / INSTALL 60W EQ. LED EDISON BULB
INTERNET: #316514725
MODEL: #P500349-163STORE
SKU: #1006262996
VENDOR: HOME DEPOT
PRICE: $109</t>
  </si>
  <si>
    <t>ITEM: KITCHEN - PENDANT RESIDENTIAL LIGHT MOISTURE RESISTANT IN WET AREAS
MFR: PROGRESS
TYPE: MITCHELLA 1-LIGHT VINTAGE BRASS PENDANT WITH CLEAR GLASS GLOBE SHADE
COLOR/STYLE: 12" DIA / INSTALL 60W EQ. LED EDISON BULB
INTERNET: #316514725
MODEL: #P500349-163STORE
SKU: #1006262996
VENDOR: HOME DEPOT
PRICE: $109</t>
  </si>
  <si>
    <t>ITEM: KITCHEN - SCONCE
MFR: JONATHAN Y
TYPE: MAKENA 28 IN. 1-LIGHT BLACK METAL DIMMABLE INTEGRATED LED METAL WALL SCONCE
COLOR/STYLE: 10W INTEGRATED LED 
INTERNET: #318110283
MODEL: #JYL7022C
STORE SKU: #1006684977 
VENDOR: HOME DEPOT
PRICE: $96</t>
  </si>
  <si>
    <t>ITEM: KITCHEN - UNDERCABINET LED TAPE LIGHTING W/ DIFFUSER
MFR: ARMACOST
TYPE: RIBBONFLEX HOME LED TAPE LIGHT
COLOR/STYLE: DIMMABLE FROM 3000K-1800K/ 24V / KIT INCLUDES DRIVER, 2 CONNECTORS, 16 FT. TAPE, AND REMOTE
INTERNET: #312681619
MODEL: #421503
VENDOR: HOME DEPOT
PRICE: $38</t>
  </si>
  <si>
    <t xml:space="preserve">ITEM: KITCHEN - UNDERCABINET LED TAPE LIGHTING W/ DIFFUSER
MFR: ARMACOST
TYPE: RIBBONFLEX ALUMINUM LED TAPE LIGHT FLAT CHANNEL AND DIFFUSER SYSTEM MOUNTING HARDWARE (5-PACK)
COLOR/STYLE: SEE PLANS FOR LOCATION OF DRIVER AND INFO ON RECESSED ROUTED CHANNEL &amp; DIFFUSER AT OPEN SHELVING
INTERNET: #312928119
MODEL: #960050
STORE SKU: #1005256243
STORE SO SKU: #1006032513
VENDOR: HOME DEPOT
PRICE: $30 </t>
  </si>
  <si>
    <t xml:space="preserve">ITEM: KITCHEN - UNDERCABINET LED TAPE LIGHTING W/ DIFFUSER
MFR: ARMACOST
TYPE: RGB LED TAPE LIGHT SURELOCK CONNECTOR ASSORTMENT PACK (3)
INTERNET: #207158788
MODEL: #760010
STORE SKU: #1001848430
VENDOR: HOME DEPOT
PRICE: $7 </t>
  </si>
  <si>
    <t>ITEM: PANTRY - CEILING MOUNTED LIGHT FIXTURES
MFR: IKEA
TYPE: NYMÅNE: 18" DIA. X 3"
COLOR/STYLE: ACRYLIC &amp; ANTHRACITE / INTEGRAL 125W EQ. LED
NUMBER: ARTICLE NUMBER: 304.150.98
VENDOR: IKEA
PRICE: $50</t>
  </si>
  <si>
    <t>ITEM: MAIN STAIRWELL - CEILING MOUNTED LIGHT FIXTURES
MFR: ARTIKA
TYPE: ALTON
COLOR/STYLE: 13" DIA. X 4" H / INTEGRATED 25W LED / DIMMABLE / BLACK &amp; WOOD FINISH
INTERNET: #318018376
MODEL: #FM-ALC-HD2WDSTORE
SKU: #1006825194
VENDOR: HOME DEPOT
PRICE: $100</t>
  </si>
  <si>
    <t>ITEM: BASEMENT STAIRWELL
MFR: NUVO
TYPE: LED - 24" - (1) 20W BULB
COLOR/STYLE: WHITE ACRYLIC
NUMBER: N651081
VENDOR: FERGUSON
PRICE: $38</t>
  </si>
  <si>
    <t>ITEM: DINING ROOM - PENDANT CEILING MOUNTED LIGHT FIXTURES
MFR: JC TOPA
TYPE: 6-LIGHT GOLD AND BLACK SPUTNIK MODERN LINEAR CEILING LAMP CHANDELIER WITH CLEAR GLASS SHADES
COLOR/STYLE: INSTALL 60W EQ. LED EDISON BULB
INTERNET: #315399296
MODEL: #MD19803/6
VENDOR: HOME DEPOT
PRICE: $275</t>
  </si>
  <si>
    <t>ITEM: DINING ROOM - PENDANT RESIDENTIAL LIGHT MOISTURE RESISTANT IN WET AREAS
MFR: JC TOPA
TYPE: 6-LIGHT GOLD AND BLACK SPUTNIK MODERN LINEAR CEILING LAMP CHANDELIER WITH CLEAR GLASS SHADES
COLOR/STYLE: INSTALL 60W EQ. LED EDISON BULB
INTERNET: #315399296
MODEL: #MD19803/6
VENDOR: HOME DEPOT
PRICE: $275</t>
  </si>
  <si>
    <t>ITEM: LIVING ROOM - MAIN
MFR: HOME DECORATORS COLLECTION
TYPE: MEWRY
COLOR/STYLE: 52" DIA. - 5-BLADE / MATTE BLACK / INCLUDES DOWNROD, REMOTE, &amp; LED LIGHT KIT
INTERNET: #301231214
MODEL: # SW1422MBKSTORE 
SKU: #1001236066
VENDOR: HOME DEPOT
PRICE: $125</t>
  </si>
  <si>
    <t>ITEM: LIVING ROOM - SCONCE
MFR: JONATHAN Y
TYPE: CALEB 1-LIGHT 8 IN. BLACK/BRASS WALL SCONCE
COLOR/STYLE: INSTALL 25W EQ. LED EDISON BULB
INTERNET: #304979421
MODEL: #JYL9009A
STORE SKU: #1003118199
VENDOR: HOME DEPOT
PRICE: $75</t>
  </si>
  <si>
    <t>ITEM: POWDER RM 1- SCONCE
MFR: LIVEX
TYPE: COPENHAGEN 2 LIGHT ADA SCONCE
COLOR/STYLE: SATIN BRASS / 5.125 IN. W X 10 IN. H X 3 IN./ INSTALL (2) 60W EQ. TUBULAR CANDELABRA LED BULBS
INTERNET: #314159577
MODEL: #51172-12 
STORE SKU: #1005618234
VENDOR: HOME DEPOT
PRICE: $84</t>
  </si>
  <si>
    <t>ITEM: MUD ROOM - CEILING MOUNTED LIGHT FIXTURES
MFR: IKEA
TYPE: GRINDFALLET
COLOR/STYLE: 12" DIA STEEL CAGE / INSTALL 100W EQ. LED GLOBE BULB W/ E26 BASE
NUMBER: 405.049.99
VENDOR: IKEA
PRICE: $35</t>
  </si>
  <si>
    <t>2ND FLOOR</t>
  </si>
  <si>
    <t>ITEM: BEDROOM 1-4 CEILING MOUNTED LIGHT FIXTURES
MFR: HOME DECORATORS COLLECTION
TYPE: MEWRY
COLOR/STYLE: 52" DIA. - 5-BLADE / MATTE BLACK / INCLUDES DOWNROD, REMOTE, &amp; LED LIGHT KIT
INTERNET: #301231214
MODEL: # SW1422MBK
STORE SKU: #1001236066
VENDOR: HOME DEPOT
PRICE: $125</t>
  </si>
  <si>
    <t>ITEM: BATH 1 - SCONCE
MFR: GOLDEN LIGHTING
TYPE: DUNCAN
COLOR/STYLE: CHROME 1-LIGHT BATH LIGHT WITH GLOSS WHITE SHADE / INSTALL 100W EQ. LED BULB
NUMBER: INTERNET #301039031
MODEL: #3602-BA1 CH-WH
STORE SKU: #1002273144
VENDOR: HOME DEPOT
PRICE: $60</t>
  </si>
  <si>
    <t>ITEM: BATH 2&amp;3 - SCONCE
MFR: MAXIM
TYPE: RAIL LED I  SERIES
COLOR/STYLE: POLISHED CHROME / 1.75 IN. W X 24 IN. H X 4.75 SQUARE BASE / INTEGRAL 16W LED LIGHT
PART: #M52102PC  
ITEM: #7855210 
MANUFACTURER PART: #52102PC
VENDOR: FERGUSON
PRICE: $86</t>
  </si>
  <si>
    <t>ITEM: LAUNDRY CEILING MOUNTED LIGHT FIXTURES
MFR: ARTIKA
TYPE: ALTON
COLOR/STYLE: 13" DIA. X 4" H / INTEGRATED 25W LED / DIMMABLE / BLACK &amp; WOOD FINISH 
INTERNET: #318018376
MODEL: #FM-ALC-HD2WDSTORE
SKU: #1006825194
VENDOR: HOME DEPOT
PRICE: $100</t>
  </si>
  <si>
    <t>ITEM: LAUNDRY - UNDERCABINET LED TAPE LIGHTING W/ DIFFUSER
MFR: ARMACOST
TYPE: RIBBONFLEX HOME LED TAPE LIGHT
COLOR/STYLE: DIMMABLE FROM 3000K-1800K/ 24V / KIT INCLUDES DRIVER, 2 CONNECTORS, 16 FT. TAPE, AND REMOTE
INTERNET: #312681619
MODEL: #421503
VENDOR: HOME DEPOT
PRICE: $38</t>
  </si>
  <si>
    <t xml:space="preserve">ITEM: LAUNDRY - UNDERCABINET LED TAPE LIGHTING W/ DIFFUSER
MFR: ARMACOST
TYPE: RIBBONFLEX ALUMINUM LED TAPE LIGHT FLAT CHANNEL AND DIFFUSER SYSTEM MOUNTING HARDWARE (5-PACK)
COLOR/STYLE: SEE PLANS FOR LOCATION OF DRIVER AND INFO ON RECESSED ROUTED CHANNEL &amp; DIFFUSER AT OPEN SHELVING
INTERNET: #312928119
MODEL: #960050
STORE SKU: #1005256243
STORE SO SKU: #1006032513
VENDOR: HOME DEPOT
PRICE: $30 </t>
  </si>
  <si>
    <t xml:space="preserve">ITEM: LAUNDRY - UNDERCABINET LED TAPE LIGHTING W/ DIFFUSER
MFR: ARMACOST
TYPE: RGB LED TAPE LIGHT SURELOCK CONNECTOR ASSORTMENT PACK (3)
INTERNET: #207158788
MODEL: #760010
STORE SKU: #1001848430
VENDOR: HOME DEPOT
PRICE: $7 </t>
  </si>
  <si>
    <t>ITEM: STAIRWELL - CEILING MOUNTED LIGHT FIXTURES
MFR: ARTIKA
TYPE: ALTON
COLOR/STYLE: 13" DIA. X 4" H / INTEGRATED 25W LED / DIMMABLE / BLACK &amp; WOOD FINISH 
INTERNET #318018376
MODEL: #FM-ALC-HD2WDSTORE
SKU: #1006825194
VENDOR: HOME DEPOT
PRICE: $100</t>
  </si>
  <si>
    <t>ITEM: HALLWAY - CEILING MOUNTED LIGHT FIXTURES
MFR: WAC LIGHTING
TYPE: ROUND COLLECTION
COLOR/STYLE: 5" DIA. X 5/8" H / INTEGRATED 12W LED / DIMMABLE / BLACK FINISH
NUMBER: FM-05RN-935-BK
VENDOR: BUILD.COM
PRICE: $30</t>
  </si>
  <si>
    <t>ITEM: ATRIUM TO 1ST FLOOR - SEE DRAWINGS FOR MOUNTING HEIGHTS AND COLOR GROUPING
MFR: CASAMOTION
TYPE: 1-LIGHT UNIQUE OPTIC CONTEMPORARY NICKEL "DOUBLEEYELID" HANDBLOWN BLUE GLASS SHADE PENDANT (PACK OF 3)
COLOR/STYLE: 7" DIA / INSTALL 40W EQ. LED EDISON BULB / 79" MAX. SUSPENSION
INTERNET: #306240746
MODEL: #234168028
STORE SKU: #1003418733
VENDOR: HOME DEPOT
PRICE: $150</t>
  </si>
  <si>
    <t>ITEM: ATRIUM TO 1ST FLOOR - SEE DRAWINGS FOR MOUNTING HEIGHTS AND COLOR GROUPING
MFR: CASAMOTION
TYPE: 1-LIGHT UNIQUE OPTIC CONTEMPORARY NICKEL "DOUBLEEYELID" HANDBLOWN CLEAR GLASS SHADE PENDANT (PACK OF 3)
COLOR/STYLE: 9" DIA / INSTALL 40W EQ. LED EDISON BULB / 81" MAX. SUSPENSION
INTERNET: #306240501
MODEL: #9487214007
STORE SKU: #1003418697
VENDOR: HOME DEPOT
PRICE: $55</t>
  </si>
  <si>
    <t>3RD FLOOR</t>
  </si>
  <si>
    <t>ITEM: SUPPLIES 1-4 WALL SCONCES
MFR: NUVO
TYPE: LED - 24" - (1) 20W BULB
COLOR/STYLE: WHITE ACRYLIC
NUMBER: N651081
VENDOR: FERGUSON
PRICE: $38</t>
  </si>
  <si>
    <t>ITEM: DEN - CEILING MOUNTED LIGHT FIXTURES
MFR: HOME DECORATORS COLLECTION
TYPE: MEWRY
COLOR/STYLE: 52" DIA. - 5-BLADE / MATTE BLACK / INCLUDES DOWNROD, REMOTE, &amp; LED LIGHT KIT
INTERNET: #301231214
MODEL: # SW1422MBKSTORE 
SKU: #1001236066
VENDOR: HOME DEPOT
PRICE: $125</t>
  </si>
  <si>
    <t>ITEM: DEN - SCONCE
MFR: PROGRESS
TYPE: 5IN CYL RNDS COLLECTION
COLOR/STYLE: 5" X 7 1/4" BLACK LED OUTDOOR ALUMINUM UP/DOWN WALL MOUNT CYLINDER / INSTALL 75W EQ. LED BULB / COORDINATES W/ EXTERIOR FIXTURES @ TERRACE
NUMBER: P5712-31
VENDOR: FERGUSON
PRICE: $75</t>
  </si>
  <si>
    <t>ITEM: PLAY AREA / HALL - CEILING MOUNTED LIGHT FIXTURES
MFR: WAC LIGHTING
TYPE: ROUND COLLECTION
COLOR/STYLE: 5" DIA. X 5/8" H / INTEGRATED 12W LED / DIMMABLE / BLACK FINISH
NUMBER: FM-05RN-935-BK
VENDOR: BUILD.COM
PRICE: $30</t>
  </si>
  <si>
    <t>ITEM: STAIRWELL - CEILING MOUNTED LIGHT FIXTURES
MFR: ARTIKA
TYPE: ALTON
COLOR/STYLE: 13" DIA. X 4" H / INTEGRATED 25W LED / DIMMABLE / BLACK &amp; WOOD FINISH 
INTERNET: #318018376
MODEL: #FM-ALC-HD2WDSTORE
SKU: #1006825194
VENDOR: HOME DEPOT
PRICE: $100</t>
  </si>
  <si>
    <t>ITEM: POWDER RM 2 - SCONCE
MFR: LIVEX
TYPE: COPENHAGEN 2 LIGHT ADA SCONCE
COLOR/STYLE: MATTE BLACK / 5.125 IN. W X 10 IN. H X 3 IN./ INSTALL (2) 60W EQ. TUBULAR CANDELABRA LED BULBS
INTERNET: #314159499
MODEL: #51172-04
STORE SKU: #1005618160
VENDOR: HOME DEPOT
PRICE: $71</t>
  </si>
  <si>
    <t>ITEM: BATH 4 - SCONCE
MFR: JONATHAN
TYPE: CALEB 2-LIGHT SCONCE
COLOR/STYLE: 18 IN. BRASS GOLD/BLACK BRASS WALL W/ 6IN. FROSTED GLOBES / INCLUDES 25W  LED BULBS
INTERNET #308502390
MODEL: #JYL9057B
STORE SKU: #1004074779
VENDOR: HOME DEPOT
PRICE: $94</t>
  </si>
  <si>
    <t>ITEM: DRESSING RM - CEILING MOUNTED LIGHT FIXTURES
MFR: IKEA
TYPE: NYMÅNE: 15" DIA. X 3"
COLOR/STYLE: PENDANT / ACRYLIC &amp; ANTHRACITE / INTEGRAL 125W EQ. LED
ARTICLE NUMBER: 005.040.48
VENDOR: IKEA
PRICE: $90</t>
  </si>
  <si>
    <t>ITEM: BEDROOM 5 - CEILING MOUNTED LIGHT FIXTURES
MFR: HOME DECORATORS COLLECTION
TYPE: MEWRY
COLOR/STYLE: 52" DIA. - 5-BLADE / MATTE BLACK / INCLUDES DOWNROD, REMOTE, &amp; LED LIGHT KIT
INTERNET: #301231214
MODEL: # SW1422MBKSTORE 
SKU: #1001236066
VENDOR: HOME DEPOT
PRICE: $125</t>
  </si>
  <si>
    <t>ITEM: BEDROOM 5 - SCONCE
MFR: JONATHAN Y
TYPE: CALEB 1-LIGHT SCONCE
COLOR/STYLE: 18 IN. BRASS GOLD/BLACK BRASS WALL W/ 6IN. FROSTED GLOBES / INCLUDES 25W  LED BULB
INTERNET: #309249152
MODEL: #JYL9056B
STORE SKU: #1004252162
VENDOR: HOME DEPOT
PRICE: $82</t>
  </si>
  <si>
    <t xml:space="preserve">ITEM: TERRACE
MFR: TBD
TYPE: TBD
COLOR/STYLE: TBD
NUMBER: TBD
VENDOR: TBD </t>
  </si>
  <si>
    <t>WALL SCONCES AT BALCONY</t>
  </si>
  <si>
    <t>RESIDENTIAL LIGHT MOISTURE RESISTANT IN WET AREAS</t>
  </si>
  <si>
    <t>RECEPTACLES</t>
  </si>
  <si>
    <t>LOW RECEPTACLE &amp; HIGH RECEPTACLE FOR FUTURE STRING LIGHTS</t>
  </si>
  <si>
    <t>SWITCH OUTLETS</t>
  </si>
  <si>
    <t>USB SWITCH OUTLET</t>
  </si>
  <si>
    <t>SWITCHED OUTLET</t>
  </si>
  <si>
    <t>OUTLET FOR OWNER - PROVIDED BIDET</t>
  </si>
  <si>
    <t>EXHAUST FAN OUTLET</t>
  </si>
  <si>
    <t>PANELS</t>
  </si>
  <si>
    <t>NEW ELECTRIC PANEL</t>
  </si>
  <si>
    <t>NEW INVERTER PANEL</t>
  </si>
  <si>
    <t>ADD ALTERNATE</t>
  </si>
  <si>
    <t>ITEM: DRESSING ROOM MIRROR - ADD ALTERNATE
MFR: NEUTYPE
COLOR/STYLE: LARGE RECTANGLE BLACK HOOKS CONTEMPORARY MIRROR (59 IN. H X 20 IN. W)
INTERNET: #312532371
MODEL: #JJ01039AAF
VENDOR: HOME DEPOT
PRICE: $105</t>
  </si>
  <si>
    <t>DEDUCT ALTERNATE</t>
  </si>
  <si>
    <t>RAIN BARREL</t>
  </si>
  <si>
    <r>
      <t xml:space="preserve">RAIN BARREL
MFR: UPCYCLE PRODUCTS (OR EQ.)
TYPE: RAIN BARREL STAND FOR 26 IN. MAX. BASE DIAMETER BARRELS
COLOR: BLACK
NUMBER: INTERNET #312670136
MODEL #BRO
STORE SKU 
#1005185826
</t>
    </r>
    <r>
      <rPr>
        <b/>
        <sz val="10"/>
        <color rgb="FFFF0000"/>
        <rFont val="Calibri"/>
        <family val="2"/>
        <scheme val="minor"/>
      </rPr>
      <t>PRICE : $77</t>
    </r>
  </si>
  <si>
    <r>
      <t xml:space="preserve">RAIN BARREL STAND 
MFR: UPCYCLE PRODUCTS (OR EQ.)
TYPE: 55 GAL BARREL WITH FILTER AND SPIGOT / 22" DIA. X 38" H
COLOR: BLACK
NUMBER: INTERNET #207143106
MODEL #K761 
</t>
    </r>
    <r>
      <rPr>
        <b/>
        <sz val="10"/>
        <color rgb="FFFF0000"/>
        <rFont val="Calibri"/>
        <family val="2"/>
        <scheme val="minor"/>
      </rPr>
      <t>PRICE: $55</t>
    </r>
  </si>
  <si>
    <t>ELEVATOR - 4'-6" X 4'-8" , GARAVENTA LIFT
4 STOPS</t>
  </si>
  <si>
    <t>ALTERNATE #2</t>
  </si>
  <si>
    <t>ALT-2</t>
  </si>
  <si>
    <t>CEILING FANS W/ BOX</t>
  </si>
  <si>
    <t>CEILING FAN</t>
  </si>
  <si>
    <t>ADDITIONAL ELECTRICAL RECEPTACLES FOR FUTURE WORKSHOP. CONTACT OWNER FOR LOCATION</t>
  </si>
  <si>
    <t xml:space="preserve">LIGHT
MFR: LEVITON
COLOR/STYLE: MEDIUM BASE KEYLESS PORCELAIN FIXTURE W/ 100W EQUIVALENT LED
MODEL: # 9874 
INTERNET: #301667459
VENDOR: HOME DEPOT
PRICE: $7 </t>
  </si>
  <si>
    <t>ALLOWANCE PROVIDED FOR ELECTRICAL WIRING
AREA: 3882 SF</t>
  </si>
  <si>
    <t>ALLOWANCE PROVIDE FOR FITTING
AREA: 3882 SF</t>
  </si>
  <si>
    <t xml:space="preserve">1/2" THK. MOISTURE BOARD AT WALLS </t>
  </si>
  <si>
    <t xml:space="preserve">1/2" THK. CEMENTITUOUS BACKER BOARD AT WALLS </t>
  </si>
  <si>
    <t xml:space="preserve">5/8" THK. "TYPE-X" GYPSUM BOARD AT WALLS </t>
  </si>
  <si>
    <t>1'-4"W x 7'-0"H SHUTTERS DOOR</t>
  </si>
  <si>
    <t>2'-6"W x 7'-0"H MASONITE WOOD DOOR W/ FRAME</t>
  </si>
  <si>
    <t>ICE &amp; WATER UNDERLAYMENT</t>
  </si>
  <si>
    <t>ITEM: ROOF SHINGLES
MFR: FIRESTONE OR GAF
TYPE: ARCHITECTURAL SHINGLES</t>
  </si>
  <si>
    <t>2 1/2" ISO 95+GL RIGID INSULATION AT ROOF</t>
  </si>
  <si>
    <t>CLOSED CELL SPRAY FOAM INSULATION AT ROOF</t>
  </si>
  <si>
    <t>BUILT IN DRAWER</t>
  </si>
  <si>
    <t>ROOF SHEATHING PATCH TO MATCH EXISITNG, IF REQUIRED
ASSUMING 10% REPAIR OF TOTALS</t>
  </si>
  <si>
    <t>GENERAL DEMO ALLOWANCE</t>
  </si>
  <si>
    <t>1 CLAB</t>
  </si>
  <si>
    <t>D-8</t>
  </si>
  <si>
    <t>1 PORD</t>
  </si>
  <si>
    <t>C14G</t>
  </si>
  <si>
    <t>B-89</t>
  </si>
  <si>
    <t>1 CARP</t>
  </si>
  <si>
    <t>C14D</t>
  </si>
  <si>
    <t>C14C</t>
  </si>
  <si>
    <t>2 CARP</t>
  </si>
  <si>
    <t>D-9</t>
  </si>
  <si>
    <t>D-4</t>
  </si>
  <si>
    <t>D-1</t>
  </si>
  <si>
    <t>E-4</t>
  </si>
  <si>
    <t>E-3</t>
  </si>
  <si>
    <t>E-2</t>
  </si>
  <si>
    <t>SSWK</t>
  </si>
  <si>
    <t>C8</t>
  </si>
  <si>
    <t>F6</t>
  </si>
  <si>
    <t>J-1</t>
  </si>
  <si>
    <t>1 BRIC</t>
  </si>
  <si>
    <t>1 ROFC</t>
  </si>
  <si>
    <t>1 SHEE</t>
  </si>
  <si>
    <t>G-5</t>
  </si>
  <si>
    <t>R1</t>
  </si>
  <si>
    <t>Q-1</t>
  </si>
  <si>
    <t>1 PLUM</t>
  </si>
  <si>
    <t>2 SSWK</t>
  </si>
  <si>
    <t>G-3</t>
  </si>
  <si>
    <t>ITEM: INTERIOR POCKET DOOR HARDWARE
MFR: KWIKSET
COLOR/STYLE: ROUND IRON BLACK BED/BATH POCKET DOOR PRIVACY LOCK
NUMBER: 93350 514 RND
VENDOR: BK HARDWARE / HOME DEPOT</t>
  </si>
  <si>
    <t>ITEM: INTERIOR DOOR HARDWARE
MFR: KWIKSET
COLOR/STYLE: MILAN LEVER /MATTE BLACK FINISH W/ ROUND PLATE (US 26 POLISHED CHROME @ BATH 1-3 SIDE) - HINGE FINISH IN MATTE BLACK
NUMBER: 
VENDOR: BK HARDWARE / HOME DEPOT</t>
  </si>
  <si>
    <t>ITEM: EXTERIOR DOOR HARDWARE
MFR: KWIKSET
COLOR/STYLE: MILAN LEVER /MATTE BLACK FINISH W/ ROUND PLATE / INSTALL MATCHING SINGLE-CYLINDER DEADBOLT / SMARTKEY RE-KEY TECHNOLOGY- HINGE FINISH IN MATTE BLACK
NUMBER: 740MIL RDT 514 SMT
VENDOR: BK HARDWARE / HOME DEPOT</t>
  </si>
  <si>
    <t>C6</t>
  </si>
  <si>
    <t>ITEM: UNDERLAYMENT @ WOOD FLOORS
MFR: ACOUSTICORK
TYPE: ENDURANCE:  STEP SOUND / IMPACT NOISE REDUCTION &amp; SUBFLOOR PREP UNDERLAYMENT FOR USE WITH ALL TYPES OF FLOATING PLANK FLOORING
COLOR/STYLE: 1.8MM THICK
VENDOR: LYNN WHOLESALE FLOORING-ACOUSTICORKUSA.COM</t>
  </si>
  <si>
    <t>TILF</t>
  </si>
  <si>
    <t>1 TILF</t>
  </si>
  <si>
    <r>
      <t xml:space="preserve">ITEM: BATH 4 SHOWER FLOOR &amp; NICHE TILE
MFR: JEFFREY COURT
TYPE: DREAMCICLE
COLOR/STYLE: WHITE 11.875 IN. X 11.875 IN. CHEVRON MARBLE/GOLD METAL MOSAIC
NUMBER: INTERNET #307768952 MODEL #97936STORE SKU #1003955112
VENDOR: HOME DEPOT
</t>
    </r>
    <r>
      <rPr>
        <b/>
        <sz val="10"/>
        <color rgb="FFFF0000"/>
        <rFont val="Calibri"/>
        <family val="2"/>
        <scheme val="minor"/>
      </rPr>
      <t>PRICE: $20/SF</t>
    </r>
  </si>
  <si>
    <t>D-7</t>
  </si>
  <si>
    <t>2 CLAB</t>
  </si>
  <si>
    <t>L-1</t>
  </si>
  <si>
    <t>L-2</t>
  </si>
  <si>
    <t>2 ELEV</t>
  </si>
  <si>
    <t>Q-10</t>
  </si>
  <si>
    <t>Q-14</t>
  </si>
  <si>
    <t>2 ELEC</t>
  </si>
  <si>
    <t>1 ELEC</t>
  </si>
  <si>
    <t>B-80C</t>
  </si>
  <si>
    <t>C14H</t>
  </si>
  <si>
    <t>B-20</t>
  </si>
  <si>
    <t>Est.2025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</si>
</sst>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_(&quot;$&quot;* #,##0_);_(&quot;$&quot;* \(#,##0\);_(&quot;$&quot;* &quot;-&quot;??_);_(@_)"/>
    <numFmt numFmtId="166" formatCode="0.000%"/>
    <numFmt numFmtId="167" formatCode="0.000"/>
    <numFmt numFmtId="168" formatCode="0.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6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0" fontId="2" fillId="0" borderId="0"/>
    <xf numFmtId="44" fontId="5" fillId="0" borderId="0" applyFont="0" applyFill="0" applyBorder="0" applyAlignment="0" applyProtection="0"/>
    <xf numFmtId="0" fontId="5" fillId="0" borderId="0"/>
    <xf numFmtId="0" fontId="1" fillId="0" borderId="0"/>
  </cellStyleXfs>
  <cellXfs count="163">
    <xf numFmtId="0" fontId="0" fillId="0" borderId="0" xfId="0"/>
    <xf numFmtId="0" fontId="3" fillId="0" borderId="13" xfId="3" applyFont="1" applyBorder="1" applyAlignment="1">
      <alignment horizontal="center" vertical="center"/>
    </xf>
    <xf numFmtId="0" fontId="3" fillId="0" borderId="0" xfId="3" applyFont="1" applyAlignment="1">
      <alignment horizontal="left" vertical="center"/>
    </xf>
    <xf numFmtId="8" fontId="3" fillId="0" borderId="0" xfId="3" applyNumberFormat="1" applyFont="1" applyAlignment="1">
      <alignment horizontal="center" vertical="center"/>
    </xf>
    <xf numFmtId="10" fontId="3" fillId="0" borderId="3" xfId="3" applyNumberFormat="1" applyFont="1" applyBorder="1" applyAlignment="1">
      <alignment vertical="center"/>
    </xf>
    <xf numFmtId="10" fontId="3" fillId="0" borderId="0" xfId="3" applyNumberFormat="1" applyFont="1" applyAlignment="1">
      <alignment horizontal="center" vertical="center"/>
    </xf>
    <xf numFmtId="10" fontId="3" fillId="0" borderId="10" xfId="3" applyNumberFormat="1" applyFont="1" applyBorder="1" applyAlignment="1">
      <alignment vertical="center"/>
    </xf>
    <xf numFmtId="166" fontId="3" fillId="0" borderId="3" xfId="3" applyNumberFormat="1" applyFont="1" applyBorder="1" applyAlignment="1">
      <alignment vertical="center"/>
    </xf>
    <xf numFmtId="0" fontId="4" fillId="3" borderId="3" xfId="3" applyFont="1" applyFill="1" applyBorder="1" applyAlignment="1">
      <alignment horizontal="left" vertical="center" wrapText="1"/>
    </xf>
    <xf numFmtId="8" fontId="4" fillId="3" borderId="3" xfId="2" applyFont="1" applyFill="1" applyBorder="1" applyAlignment="1" applyProtection="1">
      <alignment horizontal="center" vertical="center"/>
    </xf>
    <xf numFmtId="0" fontId="3" fillId="0" borderId="3" xfId="3" applyFont="1" applyBorder="1" applyAlignment="1">
      <alignment horizontal="left" vertical="center" wrapText="1"/>
    </xf>
    <xf numFmtId="0" fontId="3" fillId="0" borderId="3" xfId="3" applyFont="1" applyBorder="1" applyAlignment="1">
      <alignment horizontal="center" vertical="center"/>
    </xf>
    <xf numFmtId="2" fontId="3" fillId="2" borderId="3" xfId="3" applyNumberFormat="1" applyFont="1" applyFill="1" applyBorder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4" fillId="0" borderId="0" xfId="3" applyFont="1" applyAlignment="1">
      <alignment horizontal="center" vertical="center"/>
    </xf>
    <xf numFmtId="38" fontId="4" fillId="3" borderId="3" xfId="3" applyNumberFormat="1" applyFont="1" applyFill="1" applyBorder="1" applyAlignment="1">
      <alignment horizontal="center" vertical="center" wrapText="1"/>
    </xf>
    <xf numFmtId="8" fontId="3" fillId="0" borderId="0" xfId="2" applyFont="1" applyAlignment="1" applyProtection="1">
      <alignment horizontal="center" vertical="center"/>
    </xf>
    <xf numFmtId="167" fontId="3" fillId="2" borderId="3" xfId="3" applyNumberFormat="1" applyFont="1" applyFill="1" applyBorder="1" applyAlignment="1">
      <alignment horizontal="center" vertical="center"/>
    </xf>
    <xf numFmtId="0" fontId="4" fillId="0" borderId="11" xfId="3" applyFont="1" applyBorder="1" applyAlignment="1">
      <alignment vertical="center"/>
    </xf>
    <xf numFmtId="8" fontId="3" fillId="0" borderId="3" xfId="3" applyNumberFormat="1" applyFont="1" applyBorder="1" applyAlignment="1">
      <alignment horizontal="center" vertical="center"/>
    </xf>
    <xf numFmtId="0" fontId="3" fillId="0" borderId="12" xfId="3" applyFont="1" applyBorder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3" fillId="0" borderId="1" xfId="3" applyFont="1" applyBorder="1" applyAlignment="1">
      <alignment horizontal="center" vertical="center"/>
    </xf>
    <xf numFmtId="0" fontId="4" fillId="0" borderId="0" xfId="3" applyFont="1" applyAlignment="1">
      <alignment vertical="center"/>
    </xf>
    <xf numFmtId="0" fontId="4" fillId="0" borderId="1" xfId="3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4" fillId="0" borderId="4" xfId="3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 wrapText="1"/>
    </xf>
    <xf numFmtId="8" fontId="8" fillId="4" borderId="3" xfId="2" applyFont="1" applyFill="1" applyBorder="1" applyAlignment="1" applyProtection="1">
      <alignment horizontal="center" vertical="center"/>
    </xf>
    <xf numFmtId="8" fontId="8" fillId="4" borderId="3" xfId="2" applyFont="1" applyFill="1" applyBorder="1" applyAlignment="1" applyProtection="1">
      <alignment horizontal="center" vertical="center" wrapText="1"/>
    </xf>
    <xf numFmtId="38" fontId="4" fillId="0" borderId="4" xfId="3" applyNumberFormat="1" applyFont="1" applyBorder="1" applyAlignment="1">
      <alignment horizontal="center" vertical="center" wrapText="1"/>
    </xf>
    <xf numFmtId="0" fontId="4" fillId="0" borderId="4" xfId="3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8" fontId="4" fillId="0" borderId="4" xfId="3" applyNumberFormat="1" applyFont="1" applyBorder="1" applyAlignment="1">
      <alignment horizontal="center" vertical="center"/>
    </xf>
    <xf numFmtId="8" fontId="4" fillId="0" borderId="4" xfId="2" applyFont="1" applyBorder="1" applyAlignment="1" applyProtection="1">
      <alignment horizontal="center" vertical="center"/>
    </xf>
    <xf numFmtId="7" fontId="4" fillId="0" borderId="4" xfId="1" applyNumberFormat="1" applyFont="1" applyBorder="1" applyAlignment="1" applyProtection="1">
      <alignment horizontal="center" vertical="center"/>
    </xf>
    <xf numFmtId="0" fontId="6" fillId="0" borderId="0" xfId="3" applyFont="1" applyAlignment="1">
      <alignment vertical="center"/>
    </xf>
    <xf numFmtId="0" fontId="3" fillId="0" borderId="0" xfId="3" applyFont="1" applyAlignment="1">
      <alignment vertical="center"/>
    </xf>
    <xf numFmtId="0" fontId="3" fillId="0" borderId="1" xfId="3" applyFont="1" applyBorder="1" applyAlignment="1">
      <alignment vertical="center"/>
    </xf>
    <xf numFmtId="1" fontId="3" fillId="0" borderId="3" xfId="0" applyNumberFormat="1" applyFont="1" applyBorder="1" applyAlignment="1">
      <alignment horizontal="center" vertical="center" wrapText="1"/>
    </xf>
    <xf numFmtId="0" fontId="3" fillId="0" borderId="11" xfId="3" applyFont="1" applyBorder="1" applyAlignment="1">
      <alignment horizontal="center" vertical="center"/>
    </xf>
    <xf numFmtId="165" fontId="3" fillId="0" borderId="10" xfId="3" applyNumberFormat="1" applyFont="1" applyBorder="1" applyAlignment="1">
      <alignment horizontal="center" vertical="center"/>
    </xf>
    <xf numFmtId="0" fontId="3" fillId="0" borderId="9" xfId="3" applyFont="1" applyBorder="1" applyAlignment="1">
      <alignment horizontal="center" vertical="center"/>
    </xf>
    <xf numFmtId="0" fontId="4" fillId="0" borderId="9" xfId="3" applyFont="1" applyBorder="1" applyAlignment="1">
      <alignment vertical="center"/>
    </xf>
    <xf numFmtId="165" fontId="4" fillId="0" borderId="3" xfId="3" applyNumberFormat="1" applyFont="1" applyBorder="1" applyAlignment="1">
      <alignment horizontal="center" vertical="center"/>
    </xf>
    <xf numFmtId="0" fontId="3" fillId="0" borderId="9" xfId="3" applyFont="1" applyBorder="1" applyAlignment="1">
      <alignment vertical="center"/>
    </xf>
    <xf numFmtId="2" fontId="4" fillId="0" borderId="3" xfId="3" applyNumberFormat="1" applyFont="1" applyBorder="1" applyAlignment="1">
      <alignment horizontal="center" vertical="center"/>
    </xf>
    <xf numFmtId="44" fontId="4" fillId="0" borderId="10" xfId="4" applyFont="1" applyBorder="1" applyAlignment="1" applyProtection="1">
      <alignment horizontal="center" vertical="center"/>
    </xf>
    <xf numFmtId="165" fontId="4" fillId="3" borderId="3" xfId="3" applyNumberFormat="1" applyFont="1" applyFill="1" applyBorder="1" applyAlignment="1">
      <alignment horizontal="center" vertical="center"/>
    </xf>
    <xf numFmtId="38" fontId="3" fillId="0" borderId="3" xfId="3" applyNumberFormat="1" applyFont="1" applyBorder="1" applyAlignment="1">
      <alignment horizontal="center" vertical="center"/>
    </xf>
    <xf numFmtId="44" fontId="3" fillId="0" borderId="3" xfId="4" applyFont="1" applyFill="1" applyBorder="1" applyAlignment="1" applyProtection="1">
      <alignment horizontal="center" vertical="center"/>
    </xf>
    <xf numFmtId="0" fontId="4" fillId="0" borderId="3" xfId="3" applyFont="1" applyBorder="1" applyAlignment="1">
      <alignment horizontal="left" vertical="center" wrapText="1"/>
    </xf>
    <xf numFmtId="165" fontId="4" fillId="3" borderId="3" xfId="4" applyNumberFormat="1" applyFont="1" applyFill="1" applyBorder="1" applyAlignment="1" applyProtection="1">
      <alignment horizontal="center" vertical="center"/>
    </xf>
    <xf numFmtId="38" fontId="3" fillId="0" borderId="3" xfId="3" applyNumberFormat="1" applyFont="1" applyBorder="1" applyAlignment="1">
      <alignment horizontal="center" vertical="center" wrapText="1"/>
    </xf>
    <xf numFmtId="0" fontId="3" fillId="0" borderId="3" xfId="5" applyFont="1" applyBorder="1" applyAlignment="1">
      <alignment horizontal="center" vertical="center" wrapText="1"/>
    </xf>
    <xf numFmtId="0" fontId="4" fillId="3" borderId="3" xfId="5" applyFont="1" applyFill="1" applyBorder="1" applyAlignment="1">
      <alignment horizontal="center" vertical="center" wrapText="1"/>
    </xf>
    <xf numFmtId="165" fontId="3" fillId="0" borderId="3" xfId="4" applyNumberFormat="1" applyFont="1" applyBorder="1" applyAlignment="1" applyProtection="1">
      <alignment horizontal="center" vertical="center" wrapText="1"/>
    </xf>
    <xf numFmtId="44" fontId="3" fillId="0" borderId="3" xfId="4" applyFont="1" applyBorder="1" applyAlignment="1" applyProtection="1">
      <alignment horizontal="center" vertical="center" wrapText="1"/>
    </xf>
    <xf numFmtId="165" fontId="4" fillId="0" borderId="3" xfId="4" applyNumberFormat="1" applyFont="1" applyBorder="1" applyAlignment="1" applyProtection="1">
      <alignment horizontal="center" vertical="center" wrapText="1"/>
    </xf>
    <xf numFmtId="0" fontId="4" fillId="3" borderId="3" xfId="3" applyFont="1" applyFill="1" applyBorder="1" applyAlignment="1">
      <alignment horizontal="center" vertical="center" wrapText="1"/>
    </xf>
    <xf numFmtId="164" fontId="3" fillId="0" borderId="0" xfId="3" applyNumberFormat="1" applyFont="1" applyAlignment="1">
      <alignment horizontal="center" vertical="center"/>
    </xf>
    <xf numFmtId="0" fontId="3" fillId="0" borderId="15" xfId="3" applyFont="1" applyBorder="1" applyAlignment="1">
      <alignment vertical="center" wrapText="1"/>
    </xf>
    <xf numFmtId="0" fontId="3" fillId="0" borderId="13" xfId="3" applyFont="1" applyBorder="1" applyAlignment="1">
      <alignment vertical="center" wrapText="1"/>
    </xf>
    <xf numFmtId="38" fontId="3" fillId="0" borderId="5" xfId="3" applyNumberFormat="1" applyFont="1" applyBorder="1" applyAlignment="1">
      <alignment horizontal="center" vertical="center"/>
    </xf>
    <xf numFmtId="8" fontId="4" fillId="0" borderId="3" xfId="2" applyFont="1" applyFill="1" applyBorder="1" applyAlignment="1" applyProtection="1">
      <alignment horizontal="center" vertical="center" wrapText="1"/>
    </xf>
    <xf numFmtId="8" fontId="4" fillId="0" borderId="3" xfId="2" applyFont="1" applyFill="1" applyBorder="1" applyAlignment="1" applyProtection="1">
      <alignment horizontal="center" vertical="center"/>
    </xf>
    <xf numFmtId="0" fontId="3" fillId="0" borderId="9" xfId="3" applyFont="1" applyBorder="1" applyAlignment="1">
      <alignment vertical="center" wrapText="1"/>
    </xf>
    <xf numFmtId="0" fontId="3" fillId="0" borderId="7" xfId="3" applyFont="1" applyBorder="1" applyAlignment="1">
      <alignment horizontal="left" vertical="center" wrapText="1"/>
    </xf>
    <xf numFmtId="38" fontId="3" fillId="5" borderId="3" xfId="3" applyNumberFormat="1" applyFont="1" applyFill="1" applyBorder="1" applyAlignment="1">
      <alignment horizontal="center" vertical="center"/>
    </xf>
    <xf numFmtId="38" fontId="3" fillId="5" borderId="3" xfId="3" applyNumberFormat="1" applyFont="1" applyFill="1" applyBorder="1" applyAlignment="1">
      <alignment horizontal="center" vertical="center" wrapText="1"/>
    </xf>
    <xf numFmtId="0" fontId="4" fillId="5" borderId="3" xfId="3" applyFont="1" applyFill="1" applyBorder="1" applyAlignment="1">
      <alignment horizontal="left" vertical="center" wrapText="1"/>
    </xf>
    <xf numFmtId="168" fontId="3" fillId="0" borderId="3" xfId="0" applyNumberFormat="1" applyFont="1" applyBorder="1" applyAlignment="1">
      <alignment horizontal="center" vertical="center" wrapText="1"/>
    </xf>
    <xf numFmtId="0" fontId="3" fillId="0" borderId="3" xfId="3" applyFont="1" applyBorder="1" applyAlignment="1">
      <alignment horizontal="right" vertical="center" wrapText="1"/>
    </xf>
    <xf numFmtId="38" fontId="3" fillId="0" borderId="3" xfId="3" applyNumberFormat="1" applyFont="1" applyBorder="1" applyAlignment="1">
      <alignment vertical="center" wrapText="1"/>
    </xf>
    <xf numFmtId="0" fontId="3" fillId="5" borderId="0" xfId="3" applyFont="1" applyFill="1" applyAlignment="1">
      <alignment horizontal="center" vertical="center"/>
    </xf>
    <xf numFmtId="38" fontId="4" fillId="5" borderId="3" xfId="3" applyNumberFormat="1" applyFont="1" applyFill="1" applyBorder="1" applyAlignment="1">
      <alignment horizontal="left" vertical="center" wrapText="1"/>
    </xf>
    <xf numFmtId="0" fontId="3" fillId="0" borderId="3" xfId="3" quotePrefix="1" applyFont="1" applyBorder="1" applyAlignment="1">
      <alignment horizontal="left" vertical="center" wrapText="1"/>
    </xf>
    <xf numFmtId="168" fontId="4" fillId="0" borderId="3" xfId="3" applyNumberFormat="1" applyFont="1" applyBorder="1" applyAlignment="1">
      <alignment horizontal="left" vertical="center" wrapText="1"/>
    </xf>
    <xf numFmtId="38" fontId="4" fillId="0" borderId="3" xfId="3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/>
    </xf>
    <xf numFmtId="38" fontId="3" fillId="5" borderId="3" xfId="3" applyNumberFormat="1" applyFont="1" applyFill="1" applyBorder="1" applyAlignment="1">
      <alignment vertical="center" wrapText="1"/>
    </xf>
    <xf numFmtId="167" fontId="3" fillId="0" borderId="3" xfId="3" applyNumberFormat="1" applyFont="1" applyBorder="1" applyAlignment="1">
      <alignment horizontal="center" vertical="center"/>
    </xf>
    <xf numFmtId="2" fontId="3" fillId="0" borderId="3" xfId="3" applyNumberFormat="1" applyFont="1" applyBorder="1" applyAlignment="1">
      <alignment horizontal="center" vertical="center"/>
    </xf>
    <xf numFmtId="38" fontId="3" fillId="2" borderId="3" xfId="3" applyNumberFormat="1" applyFont="1" applyFill="1" applyBorder="1" applyAlignment="1">
      <alignment horizontal="center" vertical="center"/>
    </xf>
    <xf numFmtId="38" fontId="3" fillId="2" borderId="3" xfId="3" applyNumberFormat="1" applyFont="1" applyFill="1" applyBorder="1" applyAlignment="1">
      <alignment horizontal="center" vertical="center" wrapText="1"/>
    </xf>
    <xf numFmtId="0" fontId="4" fillId="2" borderId="3" xfId="3" applyFont="1" applyFill="1" applyBorder="1" applyAlignment="1">
      <alignment horizontal="left" vertical="center" wrapText="1"/>
    </xf>
    <xf numFmtId="0" fontId="3" fillId="2" borderId="0" xfId="3" applyFont="1" applyFill="1" applyAlignment="1">
      <alignment horizontal="center" vertical="center"/>
    </xf>
    <xf numFmtId="0" fontId="3" fillId="2" borderId="3" xfId="3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1" fontId="3" fillId="2" borderId="3" xfId="0" applyNumberFormat="1" applyFont="1" applyFill="1" applyBorder="1" applyAlignment="1">
      <alignment horizontal="center" vertical="center" wrapText="1"/>
    </xf>
    <xf numFmtId="1" fontId="3" fillId="0" borderId="3" xfId="3" applyNumberFormat="1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8" fontId="3" fillId="5" borderId="3" xfId="3" applyNumberFormat="1" applyFont="1" applyFill="1" applyBorder="1" applyAlignment="1">
      <alignment horizontal="center" vertical="center"/>
    </xf>
    <xf numFmtId="167" fontId="3" fillId="5" borderId="3" xfId="3" applyNumberFormat="1" applyFont="1" applyFill="1" applyBorder="1" applyAlignment="1">
      <alignment horizontal="center" vertical="center"/>
    </xf>
    <xf numFmtId="2" fontId="3" fillId="5" borderId="3" xfId="3" applyNumberFormat="1" applyFont="1" applyFill="1" applyBorder="1" applyAlignment="1">
      <alignment horizontal="center" vertical="center"/>
    </xf>
    <xf numFmtId="0" fontId="11" fillId="0" borderId="3" xfId="3" applyFont="1" applyBorder="1" applyAlignment="1">
      <alignment horizontal="center" vertical="center"/>
    </xf>
    <xf numFmtId="8" fontId="11" fillId="6" borderId="3" xfId="3" applyNumberFormat="1" applyFont="1" applyFill="1" applyBorder="1" applyAlignment="1">
      <alignment horizontal="center" vertical="center"/>
    </xf>
    <xf numFmtId="8" fontId="11" fillId="0" borderId="3" xfId="3" applyNumberFormat="1" applyFont="1" applyBorder="1" applyAlignment="1">
      <alignment horizontal="center" vertical="center"/>
    </xf>
    <xf numFmtId="8" fontId="12" fillId="0" borderId="3" xfId="3" applyNumberFormat="1" applyFont="1" applyBorder="1" applyAlignment="1">
      <alignment horizontal="center" vertical="center"/>
    </xf>
    <xf numFmtId="167" fontId="12" fillId="0" borderId="3" xfId="3" applyNumberFormat="1" applyFont="1" applyBorder="1" applyAlignment="1">
      <alignment horizontal="center" vertical="center"/>
    </xf>
    <xf numFmtId="2" fontId="12" fillId="0" borderId="3" xfId="3" applyNumberFormat="1" applyFont="1" applyBorder="1" applyAlignment="1">
      <alignment horizontal="center" vertical="center"/>
    </xf>
    <xf numFmtId="8" fontId="12" fillId="5" borderId="3" xfId="3" applyNumberFormat="1" applyFont="1" applyFill="1" applyBorder="1" applyAlignment="1">
      <alignment horizontal="center" vertical="center"/>
    </xf>
    <xf numFmtId="44" fontId="3" fillId="0" borderId="0" xfId="3" applyNumberFormat="1" applyFont="1" applyAlignment="1">
      <alignment horizontal="center" vertical="center"/>
    </xf>
    <xf numFmtId="38" fontId="3" fillId="0" borderId="5" xfId="3" applyNumberFormat="1" applyFont="1" applyBorder="1" applyAlignment="1">
      <alignment horizontal="center" vertical="center"/>
    </xf>
    <xf numFmtId="38" fontId="3" fillId="0" borderId="4" xfId="3" applyNumberFormat="1" applyFont="1" applyBorder="1" applyAlignment="1">
      <alignment horizontal="center" vertical="center"/>
    </xf>
    <xf numFmtId="38" fontId="3" fillId="0" borderId="10" xfId="3" applyNumberFormat="1" applyFont="1" applyBorder="1" applyAlignment="1">
      <alignment horizontal="center" vertical="center"/>
    </xf>
    <xf numFmtId="14" fontId="3" fillId="0" borderId="9" xfId="3" applyNumberFormat="1" applyFont="1" applyBorder="1" applyAlignment="1">
      <alignment horizontal="left" vertical="center" wrapText="1"/>
    </xf>
    <xf numFmtId="0" fontId="3" fillId="0" borderId="0" xfId="3" applyFont="1" applyAlignment="1">
      <alignment horizontal="left" vertical="center" wrapText="1"/>
    </xf>
    <xf numFmtId="0" fontId="3" fillId="0" borderId="7" xfId="3" applyFont="1" applyBorder="1" applyAlignment="1">
      <alignment horizontal="left" vertical="center" wrapText="1"/>
    </xf>
    <xf numFmtId="0" fontId="3" fillId="0" borderId="6" xfId="3" applyFont="1" applyBorder="1" applyAlignment="1">
      <alignment horizontal="left" vertical="center" wrapText="1"/>
    </xf>
    <xf numFmtId="0" fontId="7" fillId="0" borderId="11" xfId="3" applyFont="1" applyBorder="1" applyAlignment="1">
      <alignment horizontal="center" vertical="center"/>
    </xf>
    <xf numFmtId="0" fontId="7" fillId="0" borderId="12" xfId="3" applyFont="1" applyBorder="1" applyAlignment="1">
      <alignment horizontal="center" vertical="center"/>
    </xf>
    <xf numFmtId="0" fontId="7" fillId="0" borderId="2" xfId="3" applyFont="1" applyBorder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3" fillId="0" borderId="7" xfId="3" applyFont="1" applyBorder="1" applyAlignment="1">
      <alignment horizontal="left" vertical="center"/>
    </xf>
    <xf numFmtId="0" fontId="3" fillId="0" borderId="6" xfId="3" applyFont="1" applyBorder="1" applyAlignment="1">
      <alignment horizontal="left" vertical="center"/>
    </xf>
    <xf numFmtId="0" fontId="3" fillId="0" borderId="8" xfId="3" applyFont="1" applyBorder="1" applyAlignment="1">
      <alignment horizontal="left" vertical="center"/>
    </xf>
    <xf numFmtId="0" fontId="6" fillId="0" borderId="9" xfId="3" applyFont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4" fillId="0" borderId="11" xfId="3" applyFont="1" applyBorder="1" applyAlignment="1">
      <alignment horizontal="left" vertical="center"/>
    </xf>
    <xf numFmtId="0" fontId="4" fillId="0" borderId="12" xfId="3" applyFont="1" applyBorder="1" applyAlignment="1">
      <alignment horizontal="left" vertical="center"/>
    </xf>
    <xf numFmtId="0" fontId="4" fillId="0" borderId="11" xfId="3" applyFont="1" applyBorder="1" applyAlignment="1">
      <alignment horizontal="left" vertical="center" wrapText="1"/>
    </xf>
    <xf numFmtId="0" fontId="4" fillId="0" borderId="12" xfId="3" applyFont="1" applyBorder="1" applyAlignment="1">
      <alignment horizontal="left" vertical="center" wrapText="1"/>
    </xf>
    <xf numFmtId="0" fontId="4" fillId="0" borderId="2" xfId="3" applyFont="1" applyBorder="1" applyAlignment="1">
      <alignment horizontal="left" vertical="center" wrapText="1"/>
    </xf>
    <xf numFmtId="0" fontId="3" fillId="0" borderId="9" xfId="3" applyFont="1" applyBorder="1" applyAlignment="1">
      <alignment horizontal="left" vertical="center" wrapText="1"/>
    </xf>
    <xf numFmtId="0" fontId="3" fillId="0" borderId="1" xfId="3" applyFont="1" applyBorder="1" applyAlignment="1">
      <alignment horizontal="left" vertical="center" wrapText="1"/>
    </xf>
    <xf numFmtId="0" fontId="3" fillId="0" borderId="8" xfId="3" applyFont="1" applyBorder="1" applyAlignment="1">
      <alignment horizontal="left" vertical="center" wrapText="1"/>
    </xf>
    <xf numFmtId="0" fontId="4" fillId="3" borderId="3" xfId="3" applyFont="1" applyFill="1" applyBorder="1" applyAlignment="1">
      <alignment horizontal="center" vertical="center" wrapText="1"/>
    </xf>
    <xf numFmtId="0" fontId="4" fillId="3" borderId="3" xfId="3" applyFont="1" applyFill="1" applyBorder="1" applyAlignment="1">
      <alignment horizontal="center" vertical="center"/>
    </xf>
    <xf numFmtId="38" fontId="3" fillId="0" borderId="3" xfId="3" applyNumberFormat="1" applyFont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0" fontId="4" fillId="0" borderId="10" xfId="3" applyFont="1" applyBorder="1" applyAlignment="1">
      <alignment horizontal="center" vertical="center"/>
    </xf>
    <xf numFmtId="8" fontId="4" fillId="0" borderId="5" xfId="2" applyFont="1" applyFill="1" applyBorder="1" applyAlignment="1" applyProtection="1">
      <alignment horizontal="center" vertical="center"/>
    </xf>
    <xf numFmtId="8" fontId="4" fillId="0" borderId="4" xfId="2" applyFont="1" applyFill="1" applyBorder="1" applyAlignment="1" applyProtection="1">
      <alignment horizontal="center" vertical="center"/>
    </xf>
    <xf numFmtId="8" fontId="4" fillId="0" borderId="10" xfId="2" applyFont="1" applyFill="1" applyBorder="1" applyAlignment="1" applyProtection="1">
      <alignment horizontal="center" vertical="center"/>
    </xf>
    <xf numFmtId="8" fontId="4" fillId="0" borderId="14" xfId="2" applyFont="1" applyFill="1" applyBorder="1" applyAlignment="1" applyProtection="1">
      <alignment horizontal="center" vertical="center" wrapText="1"/>
    </xf>
    <xf numFmtId="8" fontId="4" fillId="0" borderId="13" xfId="2" applyFont="1" applyFill="1" applyBorder="1" applyAlignment="1" applyProtection="1">
      <alignment horizontal="center" vertical="center" wrapText="1"/>
    </xf>
    <xf numFmtId="0" fontId="4" fillId="0" borderId="14" xfId="3" applyFont="1" applyBorder="1" applyAlignment="1">
      <alignment horizontal="center" vertical="center" wrapText="1"/>
    </xf>
    <xf numFmtId="0" fontId="4" fillId="0" borderId="13" xfId="3" applyFont="1" applyBorder="1" applyAlignment="1">
      <alignment horizontal="center" vertical="center" wrapText="1"/>
    </xf>
    <xf numFmtId="0" fontId="4" fillId="0" borderId="14" xfId="3" applyFont="1" applyBorder="1" applyAlignment="1">
      <alignment horizontal="center" vertical="center"/>
    </xf>
    <xf numFmtId="0" fontId="4" fillId="0" borderId="13" xfId="3" applyFont="1" applyBorder="1" applyAlignment="1">
      <alignment horizontal="center" vertical="center"/>
    </xf>
    <xf numFmtId="38" fontId="7" fillId="0" borderId="5" xfId="3" applyNumberFormat="1" applyFont="1" applyBorder="1" applyAlignment="1">
      <alignment horizontal="center" vertical="center"/>
    </xf>
    <xf numFmtId="38" fontId="7" fillId="0" borderId="4" xfId="3" applyNumberFormat="1" applyFont="1" applyBorder="1" applyAlignment="1">
      <alignment horizontal="center" vertical="center"/>
    </xf>
    <xf numFmtId="38" fontId="7" fillId="0" borderId="10" xfId="3" applyNumberFormat="1" applyFont="1" applyBorder="1" applyAlignment="1">
      <alignment horizontal="center" vertical="center"/>
    </xf>
    <xf numFmtId="0" fontId="4" fillId="0" borderId="2" xfId="3" applyFont="1" applyBorder="1" applyAlignment="1">
      <alignment horizontal="left" vertical="center"/>
    </xf>
    <xf numFmtId="0" fontId="3" fillId="0" borderId="5" xfId="3" applyFont="1" applyBorder="1" applyAlignment="1">
      <alignment horizontal="right" vertical="center"/>
    </xf>
    <xf numFmtId="0" fontId="3" fillId="0" borderId="4" xfId="3" applyFont="1" applyBorder="1" applyAlignment="1">
      <alignment horizontal="right" vertical="center"/>
    </xf>
    <xf numFmtId="0" fontId="3" fillId="0" borderId="10" xfId="3" applyFont="1" applyBorder="1" applyAlignment="1">
      <alignment horizontal="right" vertical="center"/>
    </xf>
    <xf numFmtId="0" fontId="7" fillId="0" borderId="0" xfId="3" applyFont="1" applyAlignment="1">
      <alignment horizontal="center" vertical="center"/>
    </xf>
    <xf numFmtId="0" fontId="4" fillId="0" borderId="3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4" xfId="3" applyFont="1" applyBorder="1" applyAlignment="1">
      <alignment horizontal="left" vertical="center"/>
    </xf>
    <xf numFmtId="8" fontId="4" fillId="0" borderId="3" xfId="2" applyFont="1" applyFill="1" applyBorder="1" applyAlignment="1" applyProtection="1">
      <alignment horizontal="center" vertical="center" wrapText="1"/>
    </xf>
    <xf numFmtId="8" fontId="4" fillId="0" borderId="3" xfId="2" applyFont="1" applyFill="1" applyBorder="1" applyAlignment="1" applyProtection="1">
      <alignment horizontal="center" vertical="center"/>
    </xf>
    <xf numFmtId="0" fontId="3" fillId="0" borderId="13" xfId="3" applyFont="1" applyBorder="1" applyAlignment="1">
      <alignment horizontal="left" vertical="center"/>
    </xf>
    <xf numFmtId="0" fontId="4" fillId="0" borderId="5" xfId="3" applyFont="1" applyBorder="1" applyAlignment="1">
      <alignment horizontal="right" vertical="center"/>
    </xf>
    <xf numFmtId="0" fontId="4" fillId="0" borderId="4" xfId="3" applyFont="1" applyBorder="1" applyAlignment="1">
      <alignment horizontal="right" vertical="center"/>
    </xf>
    <xf numFmtId="0" fontId="4" fillId="0" borderId="10" xfId="3" applyFont="1" applyBorder="1" applyAlignment="1">
      <alignment horizontal="right" vertical="center"/>
    </xf>
  </cellXfs>
  <cellStyles count="7">
    <cellStyle name="Currency" xfId="4" builtinId="4"/>
    <cellStyle name="Currency [0]_Addendum #8" xfId="1" xr:uid="{00000000-0005-0000-0000-000001000000}"/>
    <cellStyle name="Currency_Addendum #8" xfId="2" xr:uid="{00000000-0005-0000-0000-000002000000}"/>
    <cellStyle name="Normal" xfId="0" builtinId="0"/>
    <cellStyle name="Normal 2" xfId="5" xr:uid="{00000000-0005-0000-0000-000004000000}"/>
    <cellStyle name="Normal 2 2" xfId="6" xr:uid="{00000000-0005-0000-0000-000005000000}"/>
    <cellStyle name="Normal_Addendum #8" xfId="3" xr:uid="{00000000-0005-0000-0000-00000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281940</xdr:colOff>
      <xdr:row>4</xdr:row>
      <xdr:rowOff>19023</xdr:rowOff>
    </xdr:from>
    <xdr:to>
      <xdr:col>6</xdr:col>
      <xdr:colOff>397668</xdr:colOff>
      <xdr:row>11</xdr:row>
      <xdr:rowOff>15240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58C5ED9-9B9E-D08F-C149-D00121DF1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5020" y="727683"/>
          <a:ext cx="1853088" cy="11163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B1:O46"/>
  <sheetViews>
    <sheetView showGridLines="0" showZeros="0" tabSelected="1" view="pageBreakPreview" zoomScaleNormal="100" zoomScaleSheetLayoutView="100" workbookViewId="0">
      <selection activeCell="H13" sqref="H13"/>
    </sheetView>
  </sheetViews>
  <sheetFormatPr defaultColWidth="9.109375" defaultRowHeight="13.8" x14ac:dyDescent="0.25"/>
  <cols>
    <col min="1" max="1" width="1.5546875" style="13" customWidth="1"/>
    <col min="2" max="2" width="6.6640625" style="13" customWidth="1"/>
    <col min="3" max="3" width="12.6640625" style="13" customWidth="1"/>
    <col min="4" max="4" width="60.6640625" style="2" customWidth="1"/>
    <col min="5" max="6" width="12.6640625" style="2" customWidth="1"/>
    <col min="7" max="7" width="12.6640625" style="13" customWidth="1"/>
    <col min="8" max="8" width="9.33203125" style="13" customWidth="1"/>
    <col min="9" max="10" width="13.44140625" style="13" customWidth="1"/>
    <col min="11" max="16384" width="9.109375" style="13"/>
  </cols>
  <sheetData>
    <row r="1" spans="2:15" ht="9" customHeight="1" x14ac:dyDescent="0.25">
      <c r="I1" s="28"/>
      <c r="J1" s="28"/>
    </row>
    <row r="2" spans="2:15" ht="21.9" customHeight="1" x14ac:dyDescent="0.25">
      <c r="B2" s="112" t="s">
        <v>72</v>
      </c>
      <c r="C2" s="113"/>
      <c r="D2" s="113"/>
      <c r="E2" s="113"/>
      <c r="F2" s="113"/>
      <c r="G2" s="114"/>
      <c r="H2" s="115"/>
      <c r="I2" s="115"/>
      <c r="J2" s="115"/>
      <c r="K2" s="115"/>
      <c r="L2" s="115"/>
    </row>
    <row r="3" spans="2:15" ht="12.6" customHeight="1" x14ac:dyDescent="0.25">
      <c r="B3" s="116"/>
      <c r="C3" s="117"/>
      <c r="D3" s="117"/>
      <c r="E3" s="117"/>
      <c r="F3" s="117"/>
      <c r="G3" s="118"/>
    </row>
    <row r="4" spans="2:15" ht="12.6" customHeight="1" x14ac:dyDescent="0.25">
      <c r="B4" s="42"/>
      <c r="C4" s="20"/>
      <c r="D4" s="20"/>
      <c r="E4" s="20"/>
      <c r="F4" s="20"/>
      <c r="G4" s="21"/>
    </row>
    <row r="5" spans="2:15" ht="12.6" customHeight="1" x14ac:dyDescent="0.25">
      <c r="B5" s="44"/>
      <c r="D5" s="13"/>
      <c r="E5" s="13"/>
      <c r="F5" s="13"/>
      <c r="G5" s="22"/>
    </row>
    <row r="6" spans="2:15" ht="12.6" customHeight="1" x14ac:dyDescent="0.25">
      <c r="B6" s="44"/>
      <c r="G6" s="22"/>
      <c r="I6" s="115"/>
      <c r="J6" s="115"/>
      <c r="K6" s="115"/>
      <c r="L6" s="115"/>
      <c r="M6" s="115"/>
      <c r="O6" s="3"/>
    </row>
    <row r="7" spans="2:15" ht="12.6" customHeight="1" x14ac:dyDescent="0.25">
      <c r="B7" s="44"/>
      <c r="G7" s="22"/>
      <c r="O7" s="3"/>
    </row>
    <row r="8" spans="2:15" ht="12.6" customHeight="1" x14ac:dyDescent="0.25">
      <c r="B8" s="44"/>
      <c r="G8" s="22"/>
      <c r="I8" s="115"/>
      <c r="J8" s="115"/>
      <c r="K8" s="115"/>
      <c r="L8" s="115"/>
      <c r="M8" s="115"/>
      <c r="N8" s="5"/>
      <c r="O8" s="3"/>
    </row>
    <row r="9" spans="2:15" ht="12.6" customHeight="1" x14ac:dyDescent="0.25">
      <c r="B9" s="44"/>
      <c r="D9" s="38"/>
      <c r="E9" s="38"/>
      <c r="F9" s="38"/>
      <c r="G9" s="22"/>
      <c r="I9" s="115"/>
      <c r="J9" s="115"/>
      <c r="K9" s="115"/>
      <c r="L9" s="115"/>
      <c r="M9" s="115"/>
      <c r="N9" s="5"/>
      <c r="O9" s="3"/>
    </row>
    <row r="10" spans="2:15" ht="12.6" customHeight="1" x14ac:dyDescent="0.25">
      <c r="B10" s="119"/>
      <c r="C10" s="120"/>
      <c r="D10" s="120"/>
      <c r="E10" s="120"/>
      <c r="F10" s="120"/>
      <c r="G10" s="121"/>
      <c r="I10" s="115"/>
      <c r="J10" s="115"/>
      <c r="K10" s="115"/>
      <c r="L10" s="115"/>
      <c r="M10" s="115"/>
      <c r="N10" s="5"/>
      <c r="O10" s="3"/>
    </row>
    <row r="11" spans="2:15" ht="12.6" customHeight="1" x14ac:dyDescent="0.25">
      <c r="B11" s="44"/>
      <c r="G11" s="22"/>
      <c r="I11" s="115"/>
      <c r="J11" s="115"/>
      <c r="K11" s="115"/>
      <c r="L11" s="115"/>
      <c r="M11" s="115"/>
      <c r="N11" s="5"/>
      <c r="O11" s="3"/>
    </row>
    <row r="12" spans="2:15" x14ac:dyDescent="0.25">
      <c r="B12" s="45"/>
      <c r="C12" s="23"/>
      <c r="D12" s="23"/>
      <c r="E12" s="23"/>
      <c r="F12" s="23" t="s">
        <v>672</v>
      </c>
      <c r="G12" s="24"/>
      <c r="I12" s="115"/>
      <c r="J12" s="115"/>
      <c r="K12" s="115"/>
      <c r="L12" s="115"/>
      <c r="M12" s="115"/>
      <c r="O12" s="3"/>
    </row>
    <row r="13" spans="2:15" x14ac:dyDescent="0.25">
      <c r="B13" s="47"/>
      <c r="C13" s="39"/>
      <c r="D13" s="39"/>
      <c r="E13" s="39"/>
      <c r="F13" s="39"/>
      <c r="G13" s="40"/>
    </row>
    <row r="14" spans="2:15" ht="12.75" customHeight="1" x14ac:dyDescent="0.25">
      <c r="B14" s="122" t="s">
        <v>41</v>
      </c>
      <c r="C14" s="123"/>
      <c r="D14" s="18" t="s">
        <v>66</v>
      </c>
      <c r="E14" s="124" t="str">
        <f>'Detailed Estimate Sheet'!J15</f>
        <v>PROJECT LOCATION</v>
      </c>
      <c r="F14" s="125"/>
      <c r="G14" s="126"/>
    </row>
    <row r="15" spans="2:15" x14ac:dyDescent="0.25">
      <c r="B15" s="108">
        <f>'Detailed Estimate Sheet'!B16</f>
        <v>45023</v>
      </c>
      <c r="C15" s="109"/>
      <c r="D15" s="63" t="str">
        <f>'Detailed Estimate Sheet'!D16</f>
        <v>ALTERATIONS &amp; ADDITIONS TO 910 EASTERN AVE. BALTIMORE, MD 21202.</v>
      </c>
      <c r="E15" s="127" t="str">
        <f>'Detailed Estimate Sheet'!J16</f>
        <v>910 EASTERN AVE. BALTIMORE, MD 21202.</v>
      </c>
      <c r="F15" s="109"/>
      <c r="G15" s="128"/>
    </row>
    <row r="16" spans="2:15" x14ac:dyDescent="0.25">
      <c r="B16" s="110"/>
      <c r="C16" s="111"/>
      <c r="D16" s="64" t="str">
        <f>'Detailed Estimate Sheet'!D17</f>
        <v>GROSS AREA: 3882 SF</v>
      </c>
      <c r="E16" s="110"/>
      <c r="F16" s="111"/>
      <c r="G16" s="129"/>
    </row>
    <row r="17" spans="2:12" x14ac:dyDescent="0.25">
      <c r="B17" s="105"/>
      <c r="C17" s="106"/>
      <c r="D17" s="106"/>
      <c r="E17" s="106"/>
      <c r="F17" s="106"/>
      <c r="G17" s="107"/>
    </row>
    <row r="18" spans="2:12" s="14" customFormat="1" ht="27.6" x14ac:dyDescent="0.25">
      <c r="B18" s="15" t="s">
        <v>80</v>
      </c>
      <c r="C18" s="15" t="s">
        <v>75</v>
      </c>
      <c r="D18" s="61" t="s">
        <v>76</v>
      </c>
      <c r="E18" s="61" t="s">
        <v>77</v>
      </c>
      <c r="F18" s="61" t="s">
        <v>78</v>
      </c>
      <c r="G18" s="57" t="s">
        <v>79</v>
      </c>
      <c r="H18" s="13"/>
      <c r="I18" s="13"/>
      <c r="J18" s="13"/>
      <c r="K18" s="13"/>
      <c r="L18" s="13"/>
    </row>
    <row r="19" spans="2:12" x14ac:dyDescent="0.25">
      <c r="B19" s="51"/>
      <c r="C19" s="55"/>
      <c r="D19" s="10"/>
      <c r="E19" s="53"/>
      <c r="F19" s="53"/>
      <c r="G19" s="60"/>
    </row>
    <row r="20" spans="2:12" x14ac:dyDescent="0.25">
      <c r="B20" s="51">
        <f>IF(G20&lt;&gt;"",1+MAX($B$18:B19),"")</f>
        <v>1</v>
      </c>
      <c r="C20" s="55" t="str">
        <f>'Detailed Estimate Sheet'!C21</f>
        <v>DIV. 01</v>
      </c>
      <c r="D20" s="10" t="str">
        <f>'Detailed Estimate Sheet'!D21</f>
        <v>GENERAL REQUIREMENTS</v>
      </c>
      <c r="E20" s="58">
        <f>'Detailed Estimate Sheet'!H21+('Detailed Estimate Sheet'!H21*('Detailed Estimate Sheet'!$Q$8+'Detailed Estimate Sheet'!$Q$10+'Detailed Estimate Sheet'!$Q$12))+('Detailed Estimate Sheet'!$Q$11*('Detailed Estimate Sheet'!H21+'Detailed Estimate Sheet'!H21*'Detailed Estimate Sheet'!$Q$8+'Detailed Estimate Sheet'!H21*'Detailed Estimate Sheet'!$Q$10))</f>
        <v>0</v>
      </c>
      <c r="F20" s="58">
        <f>'Detailed Estimate Sheet'!O21+('Detailed Estimate Sheet'!O21*('Detailed Estimate Sheet'!$Q$9+'Detailed Estimate Sheet'!$Q$10+'Detailed Estimate Sheet'!$Q$12))+('Detailed Estimate Sheet'!$Q$11*('Detailed Estimate Sheet'!O21+'Detailed Estimate Sheet'!O21*'Detailed Estimate Sheet'!$Q$9+'Detailed Estimate Sheet'!O21*'Detailed Estimate Sheet'!$Q$10))</f>
        <v>79198.5</v>
      </c>
      <c r="G20" s="58">
        <f>'Detailed Estimate Sheet'!R21</f>
        <v>79198.5</v>
      </c>
    </row>
    <row r="21" spans="2:12" x14ac:dyDescent="0.25">
      <c r="B21" s="51">
        <f>IF(G21&lt;&gt;"",1+MAX($B$18:B20),"")</f>
        <v>2</v>
      </c>
      <c r="C21" s="55" t="str">
        <f>'Detailed Estimate Sheet'!C25</f>
        <v>DIV. 02</v>
      </c>
      <c r="D21" s="10" t="str">
        <f>'Detailed Estimate Sheet'!D25</f>
        <v>EXISTING CONDITIONS</v>
      </c>
      <c r="E21" s="58">
        <f>'Detailed Estimate Sheet'!H25+('Detailed Estimate Sheet'!H25*('Detailed Estimate Sheet'!$Q$8+'Detailed Estimate Sheet'!$Q$10+'Detailed Estimate Sheet'!$Q$12))+('Detailed Estimate Sheet'!$Q$11*('Detailed Estimate Sheet'!H25+'Detailed Estimate Sheet'!H25*'Detailed Estimate Sheet'!$Q$8+'Detailed Estimate Sheet'!H25*'Detailed Estimate Sheet'!$Q$10))</f>
        <v>1313.2724316420799</v>
      </c>
      <c r="F21" s="58">
        <f>'Detailed Estimate Sheet'!O25+('Detailed Estimate Sheet'!O25*('Detailed Estimate Sheet'!$Q$9+'Detailed Estimate Sheet'!$Q$10+'Detailed Estimate Sheet'!$Q$12))+('Detailed Estimate Sheet'!$Q$11*('Detailed Estimate Sheet'!O25+'Detailed Estimate Sheet'!O25*'Detailed Estimate Sheet'!$Q$9+'Detailed Estimate Sheet'!O25*'Detailed Estimate Sheet'!$Q$10))</f>
        <v>16704.788269334796</v>
      </c>
      <c r="G21" s="58">
        <f>'Detailed Estimate Sheet'!R25</f>
        <v>18018.060700976876</v>
      </c>
    </row>
    <row r="22" spans="2:12" x14ac:dyDescent="0.25">
      <c r="B22" s="51">
        <f>IF(G22&lt;&gt;"",1+MAX($B$18:B21),"")</f>
        <v>3</v>
      </c>
      <c r="C22" s="55" t="str">
        <f>'Detailed Estimate Sheet'!C42</f>
        <v>DIV. 03</v>
      </c>
      <c r="D22" s="10" t="str">
        <f>'Detailed Estimate Sheet'!D42</f>
        <v>CONCRETE</v>
      </c>
      <c r="E22" s="58">
        <f>'Detailed Estimate Sheet'!H42+('Detailed Estimate Sheet'!H42*('Detailed Estimate Sheet'!$Q$8+'Detailed Estimate Sheet'!$Q$10+'Detailed Estimate Sheet'!$Q$12))+('Detailed Estimate Sheet'!$Q$11*('Detailed Estimate Sheet'!H42+'Detailed Estimate Sheet'!H42*'Detailed Estimate Sheet'!$Q$8+'Detailed Estimate Sheet'!H42*'Detailed Estimate Sheet'!$Q$10))</f>
        <v>5237.9297316194234</v>
      </c>
      <c r="F22" s="58">
        <f>'Detailed Estimate Sheet'!O42+('Detailed Estimate Sheet'!O42*('Detailed Estimate Sheet'!$Q$9+'Detailed Estimate Sheet'!$Q$10+'Detailed Estimate Sheet'!$Q$12))+('Detailed Estimate Sheet'!$Q$11*('Detailed Estimate Sheet'!O42+'Detailed Estimate Sheet'!O42*'Detailed Estimate Sheet'!$Q$9+'Detailed Estimate Sheet'!O42*'Detailed Estimate Sheet'!$Q$10))</f>
        <v>4937.8105862151242</v>
      </c>
      <c r="G22" s="58">
        <f>'Detailed Estimate Sheet'!R42</f>
        <v>10175.740317834548</v>
      </c>
    </row>
    <row r="23" spans="2:12" x14ac:dyDescent="0.25">
      <c r="B23" s="51">
        <f>IF(G23&lt;&gt;"",1+MAX($B$18:B22),"")</f>
        <v>4</v>
      </c>
      <c r="C23" s="55" t="str">
        <f>'Detailed Estimate Sheet'!C61</f>
        <v>DIV. 04</v>
      </c>
      <c r="D23" s="10" t="str">
        <f>'Detailed Estimate Sheet'!D61</f>
        <v>MASONRY</v>
      </c>
      <c r="E23" s="58">
        <f>'Detailed Estimate Sheet'!H61+('Detailed Estimate Sheet'!H61*('Detailed Estimate Sheet'!$Q$8+'Detailed Estimate Sheet'!$Q$10+'Detailed Estimate Sheet'!$Q$12))+('Detailed Estimate Sheet'!$Q$11*('Detailed Estimate Sheet'!H61+'Detailed Estimate Sheet'!H61*'Detailed Estimate Sheet'!$Q$8+'Detailed Estimate Sheet'!H61*'Detailed Estimate Sheet'!$Q$10))</f>
        <v>6511.8812283675397</v>
      </c>
      <c r="F23" s="58">
        <f>'Detailed Estimate Sheet'!O61+('Detailed Estimate Sheet'!O61*('Detailed Estimate Sheet'!$Q$9+'Detailed Estimate Sheet'!$Q$10+'Detailed Estimate Sheet'!$Q$12))+('Detailed Estimate Sheet'!$Q$11*('Detailed Estimate Sheet'!O61+'Detailed Estimate Sheet'!O61*'Detailed Estimate Sheet'!$Q$9+'Detailed Estimate Sheet'!O61*'Detailed Estimate Sheet'!$Q$10))</f>
        <v>12234.55917502296</v>
      </c>
      <c r="G23" s="58">
        <f>'Detailed Estimate Sheet'!R61</f>
        <v>18746.440403390498</v>
      </c>
    </row>
    <row r="24" spans="2:12" x14ac:dyDescent="0.25">
      <c r="B24" s="51">
        <f>IF(G24&lt;&gt;"",1+MAX($B$18:B23),"")</f>
        <v>5</v>
      </c>
      <c r="C24" s="55" t="str">
        <f>'Detailed Estimate Sheet'!C83</f>
        <v>DIV. 05</v>
      </c>
      <c r="D24" s="10" t="str">
        <f>'Detailed Estimate Sheet'!D83</f>
        <v>METALS</v>
      </c>
      <c r="E24" s="58">
        <f>'Detailed Estimate Sheet'!H83+('Detailed Estimate Sheet'!H83*('Detailed Estimate Sheet'!$Q$8+'Detailed Estimate Sheet'!$Q$10+'Detailed Estimate Sheet'!$Q$12))+('Detailed Estimate Sheet'!$Q$11*('Detailed Estimate Sheet'!H83+'Detailed Estimate Sheet'!H83*'Detailed Estimate Sheet'!$Q$8+'Detailed Estimate Sheet'!H83*'Detailed Estimate Sheet'!$Q$10))</f>
        <v>6734.997549675214</v>
      </c>
      <c r="F24" s="58">
        <f>'Detailed Estimate Sheet'!O83+('Detailed Estimate Sheet'!O83*('Detailed Estimate Sheet'!$Q$9+'Detailed Estimate Sheet'!$Q$10+'Detailed Estimate Sheet'!$Q$12))+('Detailed Estimate Sheet'!$Q$11*('Detailed Estimate Sheet'!O83+'Detailed Estimate Sheet'!O83*'Detailed Estimate Sheet'!$Q$9+'Detailed Estimate Sheet'!O83*'Detailed Estimate Sheet'!$Q$10))</f>
        <v>3154.5475023899471</v>
      </c>
      <c r="G24" s="58">
        <f>'Detailed Estimate Sheet'!R83</f>
        <v>9889.5450520651611</v>
      </c>
    </row>
    <row r="25" spans="2:12" x14ac:dyDescent="0.25">
      <c r="B25" s="51">
        <f>IF(G25&lt;&gt;"",1+MAX($B$18:B24),"")</f>
        <v>6</v>
      </c>
      <c r="C25" s="55" t="str">
        <f>'Detailed Estimate Sheet'!C103</f>
        <v>DIV. 06</v>
      </c>
      <c r="D25" s="10" t="str">
        <f>'Detailed Estimate Sheet'!D103</f>
        <v>WOOD, PLASTICS AND COMPOSITES</v>
      </c>
      <c r="E25" s="58">
        <f>'Detailed Estimate Sheet'!H103+('Detailed Estimate Sheet'!H103*('Detailed Estimate Sheet'!$Q$8+'Detailed Estimate Sheet'!$Q$10+'Detailed Estimate Sheet'!$Q$12))+('Detailed Estimate Sheet'!$Q$11*('Detailed Estimate Sheet'!H103+'Detailed Estimate Sheet'!H103*'Detailed Estimate Sheet'!$Q$8+'Detailed Estimate Sheet'!H103*'Detailed Estimate Sheet'!$Q$10))</f>
        <v>116386.75398273015</v>
      </c>
      <c r="F25" s="58">
        <f>'Detailed Estimate Sheet'!O103+('Detailed Estimate Sheet'!O103*('Detailed Estimate Sheet'!$Q$9+'Detailed Estimate Sheet'!$Q$10+'Detailed Estimate Sheet'!$Q$12))+('Detailed Estimate Sheet'!$Q$11*('Detailed Estimate Sheet'!O103+'Detailed Estimate Sheet'!O103*'Detailed Estimate Sheet'!$Q$9+'Detailed Estimate Sheet'!O103*'Detailed Estimate Sheet'!$Q$10))</f>
        <v>48691.01724739738</v>
      </c>
      <c r="G25" s="58">
        <f>'Detailed Estimate Sheet'!R103</f>
        <v>165077.77123012758</v>
      </c>
    </row>
    <row r="26" spans="2:12" x14ac:dyDescent="0.25">
      <c r="B26" s="51">
        <f>IF(G26&lt;&gt;"",1+MAX($B$18:B25),"")</f>
        <v>7</v>
      </c>
      <c r="C26" s="55" t="str">
        <f>'Detailed Estimate Sheet'!C241</f>
        <v>DIV. 07</v>
      </c>
      <c r="D26" s="10" t="str">
        <f>'Detailed Estimate Sheet'!D241</f>
        <v>THERMAL AND MOISTURE PROTECTION</v>
      </c>
      <c r="E26" s="58">
        <f>'Detailed Estimate Sheet'!H241+('Detailed Estimate Sheet'!H241*('Detailed Estimate Sheet'!$Q$8+'Detailed Estimate Sheet'!$Q$10+'Detailed Estimate Sheet'!$Q$12))+('Detailed Estimate Sheet'!$Q$11*('Detailed Estimate Sheet'!H241+'Detailed Estimate Sheet'!H241*'Detailed Estimate Sheet'!$Q$8+'Detailed Estimate Sheet'!H241*'Detailed Estimate Sheet'!$Q$10))</f>
        <v>33886.210145966659</v>
      </c>
      <c r="F26" s="58">
        <f>'Detailed Estimate Sheet'!O241+('Detailed Estimate Sheet'!O241*('Detailed Estimate Sheet'!$Q$9+'Detailed Estimate Sheet'!$Q$10+'Detailed Estimate Sheet'!$Q$12))+('Detailed Estimate Sheet'!$Q$11*('Detailed Estimate Sheet'!O241+'Detailed Estimate Sheet'!O241*'Detailed Estimate Sheet'!$Q$9+'Detailed Estimate Sheet'!O241*'Detailed Estimate Sheet'!$Q$10))</f>
        <v>27284.758065679587</v>
      </c>
      <c r="G26" s="58">
        <f>'Detailed Estimate Sheet'!R241</f>
        <v>61170.968211646235</v>
      </c>
    </row>
    <row r="27" spans="2:12" x14ac:dyDescent="0.25">
      <c r="B27" s="51">
        <f>IF(G27&lt;&gt;"",1+MAX($B$18:B26),"")</f>
        <v>8</v>
      </c>
      <c r="C27" s="55" t="str">
        <f>'Detailed Estimate Sheet'!C310</f>
        <v>DIV. 08</v>
      </c>
      <c r="D27" s="10" t="str">
        <f>'Detailed Estimate Sheet'!D310</f>
        <v>OPENINGS</v>
      </c>
      <c r="E27" s="58">
        <f>'Detailed Estimate Sheet'!H310+('Detailed Estimate Sheet'!H310*('Detailed Estimate Sheet'!$Q$8+'Detailed Estimate Sheet'!$Q$10+'Detailed Estimate Sheet'!$Q$12))+('Detailed Estimate Sheet'!$Q$11*('Detailed Estimate Sheet'!H310+'Detailed Estimate Sheet'!H310*'Detailed Estimate Sheet'!$Q$8+'Detailed Estimate Sheet'!H310*'Detailed Estimate Sheet'!$Q$10))</f>
        <v>128767.21660058401</v>
      </c>
      <c r="F27" s="58">
        <f>'Detailed Estimate Sheet'!O310+('Detailed Estimate Sheet'!O310*('Detailed Estimate Sheet'!$Q$9+'Detailed Estimate Sheet'!$Q$10+'Detailed Estimate Sheet'!$Q$12))+('Detailed Estimate Sheet'!$Q$11*('Detailed Estimate Sheet'!O310+'Detailed Estimate Sheet'!O310*'Detailed Estimate Sheet'!$Q$9+'Detailed Estimate Sheet'!O310*'Detailed Estimate Sheet'!$Q$10))</f>
        <v>32440.358615441233</v>
      </c>
      <c r="G27" s="58">
        <f>'Detailed Estimate Sheet'!R310</f>
        <v>161207.57521602523</v>
      </c>
    </row>
    <row r="28" spans="2:12" x14ac:dyDescent="0.25">
      <c r="B28" s="51">
        <f>IF(G28&lt;&gt;"",1+MAX($B$18:B27),"")</f>
        <v>9</v>
      </c>
      <c r="C28" s="55" t="str">
        <f>'Detailed Estimate Sheet'!C368</f>
        <v>DIV. 09</v>
      </c>
      <c r="D28" s="10" t="str">
        <f>'Detailed Estimate Sheet'!D368</f>
        <v>FINISHES</v>
      </c>
      <c r="E28" s="58">
        <f>'Detailed Estimate Sheet'!H368+('Detailed Estimate Sheet'!H368*('Detailed Estimate Sheet'!$Q$8+'Detailed Estimate Sheet'!$Q$10+'Detailed Estimate Sheet'!$Q$12))+('Detailed Estimate Sheet'!$Q$11*('Detailed Estimate Sheet'!H368+'Detailed Estimate Sheet'!H368*'Detailed Estimate Sheet'!$Q$8+'Detailed Estimate Sheet'!H368*'Detailed Estimate Sheet'!$Q$10))</f>
        <v>98426.116726653258</v>
      </c>
      <c r="F28" s="58">
        <f>'Detailed Estimate Sheet'!O368+('Detailed Estimate Sheet'!O368*('Detailed Estimate Sheet'!$Q$9+'Detailed Estimate Sheet'!$Q$10+'Detailed Estimate Sheet'!$Q$12))+('Detailed Estimate Sheet'!$Q$11*('Detailed Estimate Sheet'!O368+'Detailed Estimate Sheet'!O368*'Detailed Estimate Sheet'!$Q$9+'Detailed Estimate Sheet'!O368*'Detailed Estimate Sheet'!$Q$10))</f>
        <v>72168.49515332625</v>
      </c>
      <c r="G28" s="58">
        <f>'Detailed Estimate Sheet'!R368</f>
        <v>170594.61187997949</v>
      </c>
    </row>
    <row r="29" spans="2:12" x14ac:dyDescent="0.25">
      <c r="B29" s="51">
        <f>IF(G29&lt;&gt;"",1+MAX($B$18:B28),"")</f>
        <v>10</v>
      </c>
      <c r="C29" s="55" t="str">
        <f>'Detailed Estimate Sheet'!C473</f>
        <v>DIV. 10</v>
      </c>
      <c r="D29" s="10" t="str">
        <f>'Detailed Estimate Sheet'!D473</f>
        <v>SPECIALTIES</v>
      </c>
      <c r="E29" s="58">
        <f>'Detailed Estimate Sheet'!H473+('Detailed Estimate Sheet'!H473*('Detailed Estimate Sheet'!$Q$8+'Detailed Estimate Sheet'!$Q$10+'Detailed Estimate Sheet'!$Q$12))+('Detailed Estimate Sheet'!$Q$11*('Detailed Estimate Sheet'!H473+'Detailed Estimate Sheet'!H473*'Detailed Estimate Sheet'!$Q$8+'Detailed Estimate Sheet'!H473*'Detailed Estimate Sheet'!$Q$10))</f>
        <v>5452.7068603839998</v>
      </c>
      <c r="F29" s="58">
        <f>'Detailed Estimate Sheet'!O473+('Detailed Estimate Sheet'!O473*('Detailed Estimate Sheet'!$Q$9+'Detailed Estimate Sheet'!$Q$10+'Detailed Estimate Sheet'!$Q$12))+('Detailed Estimate Sheet'!$Q$11*('Detailed Estimate Sheet'!O473+'Detailed Estimate Sheet'!O473*'Detailed Estimate Sheet'!$Q$9+'Detailed Estimate Sheet'!O473*'Detailed Estimate Sheet'!$Q$10))</f>
        <v>2022.4321507657392</v>
      </c>
      <c r="G29" s="58">
        <f>'Detailed Estimate Sheet'!R473</f>
        <v>7475.1390111497385</v>
      </c>
    </row>
    <row r="30" spans="2:12" x14ac:dyDescent="0.25">
      <c r="B30" s="51">
        <f>IF(G30&lt;&gt;"",1+MAX($B$18:B29),"")</f>
        <v>11</v>
      </c>
      <c r="C30" s="55" t="str">
        <f>'Detailed Estimate Sheet'!C511</f>
        <v>DIV. 11</v>
      </c>
      <c r="D30" s="10" t="str">
        <f>'Detailed Estimate Sheet'!D511</f>
        <v>EQUIPMENT</v>
      </c>
      <c r="E30" s="58">
        <f>'Detailed Estimate Sheet'!H511+('Detailed Estimate Sheet'!H511*('Detailed Estimate Sheet'!$Q$8+'Detailed Estimate Sheet'!$Q$10+'Detailed Estimate Sheet'!$Q$12))+('Detailed Estimate Sheet'!$Q$11*('Detailed Estimate Sheet'!H511+'Detailed Estimate Sheet'!H511*'Detailed Estimate Sheet'!$Q$8+'Detailed Estimate Sheet'!H511*'Detailed Estimate Sheet'!$Q$10))</f>
        <v>44883.982775767996</v>
      </c>
      <c r="F30" s="58">
        <f>'Detailed Estimate Sheet'!O511+('Detailed Estimate Sheet'!O511*('Detailed Estimate Sheet'!$Q$9+'Detailed Estimate Sheet'!$Q$10+'Detailed Estimate Sheet'!$Q$12))+('Detailed Estimate Sheet'!$Q$11*('Detailed Estimate Sheet'!O511+'Detailed Estimate Sheet'!O511*'Detailed Estimate Sheet'!$Q$9+'Detailed Estimate Sheet'!O511*'Detailed Estimate Sheet'!$Q$10))</f>
        <v>3535.9557106431994</v>
      </c>
      <c r="G30" s="58">
        <f>'Detailed Estimate Sheet'!R511</f>
        <v>48419.938486411207</v>
      </c>
    </row>
    <row r="31" spans="2:12" x14ac:dyDescent="0.25">
      <c r="B31" s="51">
        <f>IF(G31&lt;&gt;"",1+MAX($B$18:B30),"")</f>
        <v>12</v>
      </c>
      <c r="C31" s="55" t="str">
        <f>'Detailed Estimate Sheet'!C526</f>
        <v>DIV. 12</v>
      </c>
      <c r="D31" s="10" t="str">
        <f>'Detailed Estimate Sheet'!D526</f>
        <v>FURNISHINGS</v>
      </c>
      <c r="E31" s="58">
        <f>'Detailed Estimate Sheet'!H526+('Detailed Estimate Sheet'!H526*('Detailed Estimate Sheet'!$Q$8+'Detailed Estimate Sheet'!$Q$10+'Detailed Estimate Sheet'!$Q$12))+('Detailed Estimate Sheet'!$Q$11*('Detailed Estimate Sheet'!H526+'Detailed Estimate Sheet'!H526*'Detailed Estimate Sheet'!$Q$8+'Detailed Estimate Sheet'!H526*'Detailed Estimate Sheet'!$Q$10))</f>
        <v>18988.540297336123</v>
      </c>
      <c r="F31" s="58">
        <f>'Detailed Estimate Sheet'!O526+('Detailed Estimate Sheet'!O526*('Detailed Estimate Sheet'!$Q$9+'Detailed Estimate Sheet'!$Q$10+'Detailed Estimate Sheet'!$Q$12))+('Detailed Estimate Sheet'!$Q$11*('Detailed Estimate Sheet'!O526+'Detailed Estimate Sheet'!O526*'Detailed Estimate Sheet'!$Q$9+'Detailed Estimate Sheet'!O526*'Detailed Estimate Sheet'!$Q$10))</f>
        <v>5124.3426003032791</v>
      </c>
      <c r="G31" s="58">
        <f>'Detailed Estimate Sheet'!R526</f>
        <v>24112.882897639407</v>
      </c>
    </row>
    <row r="32" spans="2:12" x14ac:dyDescent="0.25">
      <c r="B32" s="51">
        <f>IF(G32&lt;&gt;"",1+MAX($B$18:B31),"")</f>
        <v>13</v>
      </c>
      <c r="C32" s="55" t="str">
        <f>'Detailed Estimate Sheet'!C545</f>
        <v>DIV. 14</v>
      </c>
      <c r="D32" s="10" t="str">
        <f>'Detailed Estimate Sheet'!D545</f>
        <v>CONVEYING EQUIPMENT</v>
      </c>
      <c r="E32" s="58">
        <f>'Detailed Estimate Sheet'!H545+('Detailed Estimate Sheet'!H545*('Detailed Estimate Sheet'!$Q$8+'Detailed Estimate Sheet'!$Q$10+'Detailed Estimate Sheet'!$Q$12))+('Detailed Estimate Sheet'!$Q$11*('Detailed Estimate Sheet'!H545+'Detailed Estimate Sheet'!H545*'Detailed Estimate Sheet'!$Q$8+'Detailed Estimate Sheet'!H545*'Detailed Estimate Sheet'!$Q$10))</f>
        <v>82552.368600000002</v>
      </c>
      <c r="F32" s="58">
        <f>'Detailed Estimate Sheet'!O545+('Detailed Estimate Sheet'!O545*('Detailed Estimate Sheet'!$Q$9+'Detailed Estimate Sheet'!$Q$10+'Detailed Estimate Sheet'!$Q$12))+('Detailed Estimate Sheet'!$Q$11*('Detailed Estimate Sheet'!O545+'Detailed Estimate Sheet'!O545*'Detailed Estimate Sheet'!$Q$9+'Detailed Estimate Sheet'!O545*'Detailed Estimate Sheet'!$Q$10))</f>
        <v>57387.295888000001</v>
      </c>
      <c r="G32" s="58">
        <f>'Detailed Estimate Sheet'!R545</f>
        <v>139939.66448799998</v>
      </c>
    </row>
    <row r="33" spans="2:7" x14ac:dyDescent="0.25">
      <c r="B33" s="51">
        <f>IF(G33&lt;&gt;"",1+MAX($B$18:B32),"")</f>
        <v>14</v>
      </c>
      <c r="C33" s="55" t="str">
        <f>'Detailed Estimate Sheet'!C550</f>
        <v>DIV. 22</v>
      </c>
      <c r="D33" s="10" t="str">
        <f>'Detailed Estimate Sheet'!D550</f>
        <v>PLUMBING</v>
      </c>
      <c r="E33" s="58">
        <f>'Detailed Estimate Sheet'!H550+('Detailed Estimate Sheet'!H550*('Detailed Estimate Sheet'!$Q$8+'Detailed Estimate Sheet'!$Q$10+'Detailed Estimate Sheet'!$Q$12))+('Detailed Estimate Sheet'!$Q$11*('Detailed Estimate Sheet'!H550+'Detailed Estimate Sheet'!H550*'Detailed Estimate Sheet'!$Q$8+'Detailed Estimate Sheet'!H550*'Detailed Estimate Sheet'!$Q$10))</f>
        <v>49711.051367174994</v>
      </c>
      <c r="F33" s="58">
        <f>'Detailed Estimate Sheet'!O550+('Detailed Estimate Sheet'!O550*('Detailed Estimate Sheet'!$Q$9+'Detailed Estimate Sheet'!$Q$10+'Detailed Estimate Sheet'!$Q$12))+('Detailed Estimate Sheet'!$Q$11*('Detailed Estimate Sheet'!O550+'Detailed Estimate Sheet'!O550*'Detailed Estimate Sheet'!$Q$9+'Detailed Estimate Sheet'!O550*'Detailed Estimate Sheet'!$Q$10))</f>
        <v>24629.791323820806</v>
      </c>
      <c r="G33" s="58">
        <f>'Detailed Estimate Sheet'!R550</f>
        <v>74340.842690995807</v>
      </c>
    </row>
    <row r="34" spans="2:7" x14ac:dyDescent="0.25">
      <c r="B34" s="51">
        <f>IF(G34&lt;&gt;"",1+MAX($B$18:B33),"")</f>
        <v>15</v>
      </c>
      <c r="C34" s="55" t="str">
        <f>'Detailed Estimate Sheet'!C604</f>
        <v>DIV. 23</v>
      </c>
      <c r="D34" s="10" t="str">
        <f>'Detailed Estimate Sheet'!D604</f>
        <v>HEATING, VENTILATION AND AIR CONDITIONING (HVAC)</v>
      </c>
      <c r="E34" s="58">
        <f>'Detailed Estimate Sheet'!H604+('Detailed Estimate Sheet'!H604*('Detailed Estimate Sheet'!$Q$8+'Detailed Estimate Sheet'!$Q$10+'Detailed Estimate Sheet'!$Q$12))+('Detailed Estimate Sheet'!$Q$11*('Detailed Estimate Sheet'!H604+'Detailed Estimate Sheet'!H604*'Detailed Estimate Sheet'!$Q$8+'Detailed Estimate Sheet'!H604*'Detailed Estimate Sheet'!$Q$10))</f>
        <v>97.770933030199998</v>
      </c>
      <c r="F34" s="58">
        <f>'Detailed Estimate Sheet'!O604+('Detailed Estimate Sheet'!O604*('Detailed Estimate Sheet'!$Q$9+'Detailed Estimate Sheet'!$Q$10+'Detailed Estimate Sheet'!$Q$12))+('Detailed Estimate Sheet'!$Q$11*('Detailed Estimate Sheet'!O604+'Detailed Estimate Sheet'!O604*'Detailed Estimate Sheet'!$Q$9+'Detailed Estimate Sheet'!O604*'Detailed Estimate Sheet'!$Q$10))</f>
        <v>327.77934172006394</v>
      </c>
      <c r="G34" s="58">
        <f>'Detailed Estimate Sheet'!R604</f>
        <v>425.55027475026401</v>
      </c>
    </row>
    <row r="35" spans="2:7" x14ac:dyDescent="0.25">
      <c r="B35" s="51">
        <f>IF(G35&lt;&gt;"",1+MAX($B$18:B34),"")</f>
        <v>16</v>
      </c>
      <c r="C35" s="55" t="str">
        <f>'Detailed Estimate Sheet'!C612</f>
        <v>DIV. 26</v>
      </c>
      <c r="D35" s="10" t="str">
        <f>'Detailed Estimate Sheet'!D612</f>
        <v>ELECTRICAL</v>
      </c>
      <c r="E35" s="58">
        <f>'Detailed Estimate Sheet'!H612+('Detailed Estimate Sheet'!H612*('Detailed Estimate Sheet'!$Q$8+'Detailed Estimate Sheet'!$Q$10+'Detailed Estimate Sheet'!$Q$12))+('Detailed Estimate Sheet'!$Q$11*('Detailed Estimate Sheet'!H612+'Detailed Estimate Sheet'!H612*'Detailed Estimate Sheet'!$Q$8+'Detailed Estimate Sheet'!H612*'Detailed Estimate Sheet'!$Q$10))</f>
        <v>43125.9545316</v>
      </c>
      <c r="F35" s="58">
        <f>'Detailed Estimate Sheet'!O612+('Detailed Estimate Sheet'!O612*('Detailed Estimate Sheet'!$Q$9+'Detailed Estimate Sheet'!$Q$10+'Detailed Estimate Sheet'!$Q$12))+('Detailed Estimate Sheet'!$Q$11*('Detailed Estimate Sheet'!O612+'Detailed Estimate Sheet'!O612*'Detailed Estimate Sheet'!$Q$9+'Detailed Estimate Sheet'!O612*'Detailed Estimate Sheet'!$Q$10))</f>
        <v>23753.192995833597</v>
      </c>
      <c r="G35" s="58">
        <f>'Detailed Estimate Sheet'!R612</f>
        <v>66879.147527433568</v>
      </c>
    </row>
    <row r="36" spans="2:7" x14ac:dyDescent="0.25">
      <c r="B36" s="51">
        <f>IF(G36&lt;&gt;"",1+MAX($B$18:B35),"")</f>
        <v>17</v>
      </c>
      <c r="C36" s="55" t="str">
        <f>'Detailed Estimate Sheet'!C689</f>
        <v>DIV. 31</v>
      </c>
      <c r="D36" s="10" t="str">
        <f>'Detailed Estimate Sheet'!D689</f>
        <v>EARTHWORK</v>
      </c>
      <c r="E36" s="58">
        <f>'Detailed Estimate Sheet'!H689+('Detailed Estimate Sheet'!H689*('Detailed Estimate Sheet'!$Q$8+'Detailed Estimate Sheet'!$Q$10+'Detailed Estimate Sheet'!$Q$12))+('Detailed Estimate Sheet'!$Q$11*('Detailed Estimate Sheet'!H689+'Detailed Estimate Sheet'!H689*'Detailed Estimate Sheet'!$Q$8+'Detailed Estimate Sheet'!H689*'Detailed Estimate Sheet'!$Q$10))</f>
        <v>0</v>
      </c>
      <c r="F36" s="58">
        <f>'Detailed Estimate Sheet'!O689+('Detailed Estimate Sheet'!O689*('Detailed Estimate Sheet'!$Q$9+'Detailed Estimate Sheet'!$Q$10+'Detailed Estimate Sheet'!$Q$12))+('Detailed Estimate Sheet'!$Q$11*('Detailed Estimate Sheet'!O689+'Detailed Estimate Sheet'!O689*'Detailed Estimate Sheet'!$Q$9+'Detailed Estimate Sheet'!O689*'Detailed Estimate Sheet'!$Q$10))</f>
        <v>2580.8614629727795</v>
      </c>
      <c r="G36" s="58">
        <f>'Detailed Estimate Sheet'!R689</f>
        <v>2580.8614629727799</v>
      </c>
    </row>
    <row r="37" spans="2:7" x14ac:dyDescent="0.25">
      <c r="B37" s="51">
        <f>IF(G37&lt;&gt;"",1+MAX($B$18:B36),"")</f>
        <v>18</v>
      </c>
      <c r="C37" s="55" t="str">
        <f>'Detailed Estimate Sheet'!C700</f>
        <v>DIV. 32</v>
      </c>
      <c r="D37" s="10" t="str">
        <f>'Detailed Estimate Sheet'!D700</f>
        <v>EXTERIOR IMPROVEMENTS</v>
      </c>
      <c r="E37" s="58">
        <f>'Detailed Estimate Sheet'!H700+('Detailed Estimate Sheet'!H700*('Detailed Estimate Sheet'!$Q$8+'Detailed Estimate Sheet'!$Q$10+'Detailed Estimate Sheet'!$Q$12))+('Detailed Estimate Sheet'!$Q$11*('Detailed Estimate Sheet'!H700+'Detailed Estimate Sheet'!H700*'Detailed Estimate Sheet'!$Q$8+'Detailed Estimate Sheet'!H700*'Detailed Estimate Sheet'!$Q$10))</f>
        <v>6359.0740935838021</v>
      </c>
      <c r="F37" s="58">
        <f>'Detailed Estimate Sheet'!O700+('Detailed Estimate Sheet'!O700*('Detailed Estimate Sheet'!$Q$9+'Detailed Estimate Sheet'!$Q$10+'Detailed Estimate Sheet'!$Q$12))+('Detailed Estimate Sheet'!$Q$11*('Detailed Estimate Sheet'!O700+'Detailed Estimate Sheet'!O700*'Detailed Estimate Sheet'!$Q$9+'Detailed Estimate Sheet'!O700*'Detailed Estimate Sheet'!$Q$10))</f>
        <v>5500.0431268032062</v>
      </c>
      <c r="G37" s="58">
        <f>'Detailed Estimate Sheet'!R700</f>
        <v>11859.117220387008</v>
      </c>
    </row>
    <row r="38" spans="2:7" x14ac:dyDescent="0.25">
      <c r="B38" s="51">
        <f>IF(G38&lt;&gt;"",1+MAX($B$18:B37),"")</f>
        <v>19</v>
      </c>
      <c r="C38" s="55" t="str">
        <f>'Detailed Estimate Sheet'!C731</f>
        <v>DIV. 33</v>
      </c>
      <c r="D38" s="10" t="str">
        <f>'Detailed Estimate Sheet'!D731</f>
        <v>UTILITIES</v>
      </c>
      <c r="E38" s="58">
        <f>'Detailed Estimate Sheet'!H731+('Detailed Estimate Sheet'!H731*('Detailed Estimate Sheet'!$Q$8+'Detailed Estimate Sheet'!$Q$10+'Detailed Estimate Sheet'!$Q$12))+('Detailed Estimate Sheet'!$Q$11*('Detailed Estimate Sheet'!H731+'Detailed Estimate Sheet'!H731*'Detailed Estimate Sheet'!$Q$8+'Detailed Estimate Sheet'!H731*'Detailed Estimate Sheet'!$Q$10))</f>
        <v>479.79154400000004</v>
      </c>
      <c r="F38" s="58">
        <f>'Detailed Estimate Sheet'!O731+('Detailed Estimate Sheet'!O731*('Detailed Estimate Sheet'!$Q$9+'Detailed Estimate Sheet'!$Q$10+'Detailed Estimate Sheet'!$Q$12))+('Detailed Estimate Sheet'!$Q$11*('Detailed Estimate Sheet'!O731+'Detailed Estimate Sheet'!O731*'Detailed Estimate Sheet'!$Q$9+'Detailed Estimate Sheet'!O731*'Detailed Estimate Sheet'!$Q$10))</f>
        <v>281.96332735999999</v>
      </c>
      <c r="G38" s="58">
        <f>'Detailed Estimate Sheet'!R731</f>
        <v>761.75487135999992</v>
      </c>
    </row>
    <row r="39" spans="2:7" x14ac:dyDescent="0.25">
      <c r="B39" s="51"/>
      <c r="C39" s="55"/>
      <c r="D39" s="10"/>
      <c r="E39" s="53"/>
      <c r="F39" s="53"/>
      <c r="G39" s="60"/>
    </row>
    <row r="40" spans="2:7" x14ac:dyDescent="0.25">
      <c r="B40" s="51"/>
      <c r="C40" s="55"/>
      <c r="D40" s="53" t="s">
        <v>73</v>
      </c>
      <c r="E40" s="53"/>
      <c r="F40" s="53"/>
      <c r="G40" s="60">
        <f>SUM(G20:G39)</f>
        <v>1070874.1119431455</v>
      </c>
    </row>
    <row r="41" spans="2:7" x14ac:dyDescent="0.25">
      <c r="B41" s="51"/>
      <c r="C41" s="55"/>
      <c r="D41" s="10"/>
      <c r="E41" s="10"/>
      <c r="F41" s="10"/>
      <c r="G41" s="59"/>
    </row>
    <row r="42" spans="2:7" x14ac:dyDescent="0.25">
      <c r="B42" s="70" t="str">
        <f>IF(G42&lt;&gt;"",1+MAX($B$18:B41),"")</f>
        <v/>
      </c>
      <c r="C42" s="76"/>
      <c r="D42" s="77" t="s">
        <v>338</v>
      </c>
      <c r="E42" s="10"/>
      <c r="F42" s="10"/>
      <c r="G42" s="59"/>
    </row>
    <row r="43" spans="2:7" x14ac:dyDescent="0.25">
      <c r="B43" s="51" t="str">
        <f>IF(G43&lt;&gt;"",1+MAX($B$18:B42),"")</f>
        <v/>
      </c>
      <c r="C43" s="55"/>
      <c r="D43" s="10"/>
      <c r="E43" s="10"/>
      <c r="F43" s="10"/>
      <c r="G43" s="59"/>
    </row>
    <row r="44" spans="2:7" x14ac:dyDescent="0.25">
      <c r="B44" s="51">
        <f>IF(G44&lt;&gt;"",1+MAX($B$18:B43),"")</f>
        <v>20</v>
      </c>
      <c r="C44" s="55" t="str">
        <f>'Detailed Estimate Sheet'!C742</f>
        <v>ALT-1</v>
      </c>
      <c r="D44" s="10" t="str">
        <f>'Detailed Estimate Sheet'!D742</f>
        <v>DEDUCT ALTERNATE #1</v>
      </c>
      <c r="E44" s="58">
        <f>'Detailed Estimate Sheet'!H742+('Detailed Estimate Sheet'!H742*('Detailed Estimate Sheet'!$Q$8+'Detailed Estimate Sheet'!$Q$10+'Detailed Estimate Sheet'!$Q$12))+('Detailed Estimate Sheet'!$Q$11*('Detailed Estimate Sheet'!H742+'Detailed Estimate Sheet'!H742*'Detailed Estimate Sheet'!$Q$8+'Detailed Estimate Sheet'!H742*'Detailed Estimate Sheet'!$Q$10))</f>
        <v>-77.384614999999997</v>
      </c>
      <c r="F44" s="58">
        <f>'Detailed Estimate Sheet'!O742+('Detailed Estimate Sheet'!O742*('Detailed Estimate Sheet'!$Q$9+'Detailed Estimate Sheet'!$Q$10+'Detailed Estimate Sheet'!$Q$12))+('Detailed Estimate Sheet'!$Q$11*('Detailed Estimate Sheet'!O742+'Detailed Estimate Sheet'!O742*'Detailed Estimate Sheet'!$Q$9+'Detailed Estimate Sheet'!O742*'Detailed Estimate Sheet'!$Q$10))</f>
        <v>-106.86070549439998</v>
      </c>
      <c r="G44" s="58">
        <f>'Detailed Estimate Sheet'!R742</f>
        <v>-184.24532049439998</v>
      </c>
    </row>
    <row r="45" spans="2:7" x14ac:dyDescent="0.25">
      <c r="B45" s="51">
        <f>IF(G45&lt;&gt;"",1+MAX($B$18:B44),"")</f>
        <v>21</v>
      </c>
      <c r="C45" s="55" t="str">
        <f>'Detailed Estimate Sheet'!C746</f>
        <v>ALT-2</v>
      </c>
      <c r="D45" s="10" t="str">
        <f>'Detailed Estimate Sheet'!D746</f>
        <v>ALTERNATE #2</v>
      </c>
      <c r="E45" s="58">
        <f>'Detailed Estimate Sheet'!H746+('Detailed Estimate Sheet'!H746*('Detailed Estimate Sheet'!$Q$8+'Detailed Estimate Sheet'!$Q$10+'Detailed Estimate Sheet'!$Q$12))+('Detailed Estimate Sheet'!$Q$11*('Detailed Estimate Sheet'!H746+'Detailed Estimate Sheet'!H746*'Detailed Estimate Sheet'!$Q$8+'Detailed Estimate Sheet'!H746*'Detailed Estimate Sheet'!$Q$10))</f>
        <v>145.55100000000002</v>
      </c>
      <c r="F45" s="58">
        <f>'Detailed Estimate Sheet'!O746+('Detailed Estimate Sheet'!O746*('Detailed Estimate Sheet'!$Q$9+'Detailed Estimate Sheet'!$Q$10+'Detailed Estimate Sheet'!$Q$12))+('Detailed Estimate Sheet'!$Q$11*('Detailed Estimate Sheet'!O746+'Detailed Estimate Sheet'!O746*'Detailed Estimate Sheet'!$Q$9+'Detailed Estimate Sheet'!O746*'Detailed Estimate Sheet'!$Q$10))</f>
        <v>0</v>
      </c>
      <c r="G45" s="58">
        <f>'Detailed Estimate Sheet'!R746</f>
        <v>145.55100000000002</v>
      </c>
    </row>
    <row r="46" spans="2:7" x14ac:dyDescent="0.25">
      <c r="B46" s="51" t="str">
        <f>IF(C46&lt;&gt;"",1+MAX($B$18:B44),"")</f>
        <v/>
      </c>
      <c r="C46" s="55"/>
      <c r="D46" s="10"/>
      <c r="E46" s="10"/>
      <c r="F46" s="10"/>
      <c r="G46" s="56"/>
    </row>
  </sheetData>
  <mergeCells count="15">
    <mergeCell ref="B17:G17"/>
    <mergeCell ref="B15:C16"/>
    <mergeCell ref="B2:G2"/>
    <mergeCell ref="H2:L2"/>
    <mergeCell ref="B3:G3"/>
    <mergeCell ref="I6:M6"/>
    <mergeCell ref="I8:M8"/>
    <mergeCell ref="I9:M9"/>
    <mergeCell ref="B10:G10"/>
    <mergeCell ref="I10:M10"/>
    <mergeCell ref="I11:M11"/>
    <mergeCell ref="I12:M12"/>
    <mergeCell ref="B14:C14"/>
    <mergeCell ref="E14:G14"/>
    <mergeCell ref="E15:G16"/>
  </mergeCells>
  <printOptions horizontalCentered="1"/>
  <pageMargins left="0.25" right="0.25" top="0.375" bottom="0.375" header="0.25" footer="0.25"/>
  <pageSetup paperSize="9" fitToHeight="0" orientation="landscape" horizontalDpi="300" verticalDpi="300" r:id="rId1"/>
  <headerFooter alignWithMargins="0">
    <oddFooter>&amp;R&amp;"Arial,Bold"&amp;P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B2:AJ781"/>
  <sheetViews>
    <sheetView showGridLines="0" showZeros="0" view="pageBreakPreview" zoomScale="90" zoomScaleNormal="100" zoomScaleSheetLayoutView="90" workbookViewId="0">
      <selection activeCell="D28" sqref="D28"/>
    </sheetView>
  </sheetViews>
  <sheetFormatPr defaultColWidth="9.109375" defaultRowHeight="13.8" x14ac:dyDescent="0.25"/>
  <cols>
    <col min="1" max="1" width="1" style="13" customWidth="1"/>
    <col min="2" max="2" width="6.6640625" style="13" customWidth="1"/>
    <col min="3" max="3" width="12.6640625" style="13" customWidth="1"/>
    <col min="4" max="4" width="60.6640625" style="2" customWidth="1"/>
    <col min="5" max="6" width="12.6640625" style="13" customWidth="1"/>
    <col min="7" max="7" width="12.6640625" style="16" hidden="1" customWidth="1"/>
    <col min="8" max="10" width="12.6640625" style="16" customWidth="1"/>
    <col min="11" max="11" width="12.6640625" style="13" customWidth="1"/>
    <col min="12" max="12" width="12.6640625" style="13" hidden="1" customWidth="1"/>
    <col min="13" max="13" width="12.6640625" style="16" hidden="1" customWidth="1"/>
    <col min="14" max="14" width="12.6640625" style="16" customWidth="1"/>
    <col min="15" max="15" width="12.6640625" style="13" customWidth="1"/>
    <col min="16" max="18" width="12.6640625" style="16" customWidth="1"/>
    <col min="19" max="19" width="12.6640625" style="13" customWidth="1"/>
    <col min="20" max="21" width="12.6640625" style="13" hidden="1" customWidth="1"/>
    <col min="22" max="16384" width="9.109375" style="13"/>
  </cols>
  <sheetData>
    <row r="2" spans="2:26" ht="21.9" customHeight="1" x14ac:dyDescent="0.25">
      <c r="B2" s="152" t="s">
        <v>0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T2" s="27">
        <v>1.018</v>
      </c>
      <c r="U2" s="27">
        <v>0.83199999999999996</v>
      </c>
    </row>
    <row r="3" spans="2:26" x14ac:dyDescent="0.25">
      <c r="B3" s="122" t="s">
        <v>2</v>
      </c>
      <c r="C3" s="123"/>
      <c r="D3" s="123"/>
      <c r="E3" s="123"/>
      <c r="F3" s="123"/>
      <c r="G3" s="123"/>
      <c r="H3" s="148"/>
      <c r="I3" s="156" t="s">
        <v>3</v>
      </c>
      <c r="J3" s="156"/>
      <c r="K3" s="156"/>
      <c r="L3" s="156"/>
      <c r="M3" s="156"/>
      <c r="N3" s="156"/>
      <c r="O3" s="156"/>
      <c r="P3" s="156"/>
      <c r="Q3" s="156"/>
      <c r="R3" s="156"/>
      <c r="T3" s="13">
        <v>1.018</v>
      </c>
      <c r="U3" s="13">
        <v>0.83199999999999996</v>
      </c>
    </row>
    <row r="4" spans="2:26" ht="12.6" customHeight="1" x14ac:dyDescent="0.25">
      <c r="B4" s="116"/>
      <c r="C4" s="117"/>
      <c r="D4" s="117"/>
      <c r="E4" s="117"/>
      <c r="F4" s="117"/>
      <c r="G4" s="117"/>
      <c r="H4" s="118"/>
      <c r="I4" s="159"/>
      <c r="J4" s="159"/>
      <c r="K4" s="159"/>
      <c r="L4" s="159"/>
      <c r="M4" s="159"/>
      <c r="N4" s="159"/>
      <c r="O4" s="159"/>
      <c r="P4" s="159"/>
      <c r="Q4" s="159"/>
      <c r="R4" s="159"/>
    </row>
    <row r="5" spans="2:26" ht="12.6" customHeight="1" x14ac:dyDescent="0.25">
      <c r="B5" s="42"/>
      <c r="C5" s="20"/>
      <c r="D5" s="20"/>
      <c r="E5" s="20"/>
      <c r="F5" s="20"/>
      <c r="G5" s="20"/>
      <c r="H5" s="21"/>
      <c r="I5" s="149" t="s">
        <v>32</v>
      </c>
      <c r="J5" s="150"/>
      <c r="K5" s="150"/>
      <c r="L5" s="150"/>
      <c r="M5" s="150"/>
      <c r="N5" s="150"/>
      <c r="O5" s="150"/>
      <c r="P5" s="151"/>
      <c r="Q5" s="11"/>
      <c r="R5" s="43">
        <f>SUM(I22:I737)</f>
        <v>468125.53700773022</v>
      </c>
    </row>
    <row r="6" spans="2:26" ht="12.6" customHeight="1" x14ac:dyDescent="0.25">
      <c r="B6" s="44"/>
      <c r="D6" s="13"/>
      <c r="G6" s="13"/>
      <c r="H6" s="22"/>
      <c r="I6" s="149" t="s">
        <v>33</v>
      </c>
      <c r="J6" s="150"/>
      <c r="K6" s="150"/>
      <c r="L6" s="150"/>
      <c r="M6" s="150"/>
      <c r="N6" s="150"/>
      <c r="O6" s="150"/>
      <c r="P6" s="151"/>
      <c r="Q6" s="1"/>
      <c r="R6" s="43">
        <f>SUM(P22:P737)</f>
        <v>295696.21061179379</v>
      </c>
    </row>
    <row r="7" spans="2:26" ht="12.6" customHeight="1" x14ac:dyDescent="0.25">
      <c r="B7" s="44"/>
      <c r="G7" s="13"/>
      <c r="H7" s="22"/>
      <c r="I7" s="149" t="s">
        <v>34</v>
      </c>
      <c r="J7" s="150"/>
      <c r="K7" s="150"/>
      <c r="L7" s="150"/>
      <c r="M7" s="150"/>
      <c r="N7" s="150"/>
      <c r="O7" s="150"/>
      <c r="P7" s="151"/>
      <c r="Q7" s="7"/>
      <c r="R7" s="43">
        <f>SUM(R5:R6)</f>
        <v>763821.74761952402</v>
      </c>
      <c r="S7" s="104"/>
      <c r="T7" s="39"/>
      <c r="U7" s="39"/>
      <c r="V7" s="39"/>
      <c r="W7" s="39"/>
      <c r="X7" s="39"/>
      <c r="Z7" s="3"/>
    </row>
    <row r="8" spans="2:26" ht="12.6" customHeight="1" x14ac:dyDescent="0.25">
      <c r="B8" s="44"/>
      <c r="G8" s="13"/>
      <c r="H8" s="22"/>
      <c r="I8" s="149" t="s">
        <v>35</v>
      </c>
      <c r="J8" s="150"/>
      <c r="K8" s="150"/>
      <c r="L8" s="150"/>
      <c r="M8" s="150"/>
      <c r="N8" s="150"/>
      <c r="O8" s="150"/>
      <c r="P8" s="151"/>
      <c r="Q8" s="6">
        <v>0.06</v>
      </c>
      <c r="R8" s="43">
        <f>R5*Q8</f>
        <v>28087.532220463811</v>
      </c>
      <c r="Z8" s="3"/>
    </row>
    <row r="9" spans="2:26" ht="12.6" customHeight="1" x14ac:dyDescent="0.25">
      <c r="B9" s="44"/>
      <c r="G9" s="13"/>
      <c r="H9" s="22"/>
      <c r="I9" s="149" t="s">
        <v>36</v>
      </c>
      <c r="J9" s="150"/>
      <c r="K9" s="150"/>
      <c r="L9" s="150"/>
      <c r="M9" s="150"/>
      <c r="N9" s="150"/>
      <c r="O9" s="150"/>
      <c r="P9" s="151"/>
      <c r="Q9" s="4">
        <v>0.1</v>
      </c>
      <c r="R9" s="43">
        <f>R6*Q9</f>
        <v>29569.621061179379</v>
      </c>
      <c r="T9" s="39"/>
      <c r="U9" s="39"/>
      <c r="V9" s="39"/>
      <c r="W9" s="39"/>
      <c r="X9" s="39"/>
      <c r="Y9" s="5"/>
      <c r="Z9" s="3"/>
    </row>
    <row r="10" spans="2:26" ht="12.6" customHeight="1" x14ac:dyDescent="0.25">
      <c r="B10" s="44"/>
      <c r="D10" s="38"/>
      <c r="G10" s="13"/>
      <c r="H10" s="22"/>
      <c r="I10" s="149" t="s">
        <v>42</v>
      </c>
      <c r="J10" s="150"/>
      <c r="K10" s="150"/>
      <c r="L10" s="150"/>
      <c r="M10" s="150"/>
      <c r="N10" s="150"/>
      <c r="O10" s="150"/>
      <c r="P10" s="151"/>
      <c r="Q10" s="4">
        <v>0.25</v>
      </c>
      <c r="R10" s="43">
        <f>R7*Q10</f>
        <v>190955.436904881</v>
      </c>
      <c r="T10" s="39"/>
      <c r="U10" s="39"/>
      <c r="V10" s="39"/>
      <c r="W10" s="39"/>
      <c r="X10" s="39"/>
      <c r="Y10" s="5"/>
      <c r="Z10" s="3"/>
    </row>
    <row r="11" spans="2:26" ht="12.6" customHeight="1" x14ac:dyDescent="0.25">
      <c r="B11" s="44"/>
      <c r="D11" s="38"/>
      <c r="G11" s="13"/>
      <c r="H11" s="22"/>
      <c r="I11" s="149" t="s">
        <v>37</v>
      </c>
      <c r="J11" s="150"/>
      <c r="K11" s="150"/>
      <c r="L11" s="150"/>
      <c r="M11" s="150"/>
      <c r="N11" s="150"/>
      <c r="O11" s="150"/>
      <c r="P11" s="151"/>
      <c r="Q11" s="4">
        <v>0.02</v>
      </c>
      <c r="R11" s="43">
        <f>SUM(R7:R10)*Q11</f>
        <v>20248.686756120966</v>
      </c>
      <c r="T11" s="39"/>
      <c r="U11" s="39"/>
      <c r="V11" s="39"/>
      <c r="W11" s="39"/>
      <c r="X11" s="39"/>
      <c r="Y11" s="5"/>
      <c r="Z11" s="3"/>
    </row>
    <row r="12" spans="2:26" ht="12.6" customHeight="1" x14ac:dyDescent="0.25">
      <c r="B12" s="44"/>
      <c r="G12" s="13"/>
      <c r="H12" s="22"/>
      <c r="I12" s="149" t="s">
        <v>38</v>
      </c>
      <c r="J12" s="150"/>
      <c r="K12" s="150"/>
      <c r="L12" s="150"/>
      <c r="M12" s="150"/>
      <c r="N12" s="150"/>
      <c r="O12" s="150"/>
      <c r="P12" s="151"/>
      <c r="Q12" s="4">
        <v>0.05</v>
      </c>
      <c r="R12" s="43">
        <f>R7*Q12</f>
        <v>38191.087380976205</v>
      </c>
      <c r="S12" s="62"/>
      <c r="T12" s="39"/>
      <c r="U12" s="39"/>
      <c r="V12" s="39"/>
      <c r="W12" s="39"/>
      <c r="X12" s="39"/>
      <c r="Y12" s="5"/>
      <c r="Z12" s="3"/>
    </row>
    <row r="13" spans="2:26" x14ac:dyDescent="0.25">
      <c r="B13" s="45"/>
      <c r="C13" s="23"/>
      <c r="D13" s="23"/>
      <c r="E13" s="23"/>
      <c r="F13" s="23"/>
      <c r="G13" s="23"/>
      <c r="H13" s="24"/>
      <c r="I13" s="160" t="s">
        <v>39</v>
      </c>
      <c r="J13" s="161"/>
      <c r="K13" s="161"/>
      <c r="L13" s="161"/>
      <c r="M13" s="161"/>
      <c r="N13" s="161"/>
      <c r="O13" s="161"/>
      <c r="P13" s="162"/>
      <c r="Q13" s="26"/>
      <c r="R13" s="46">
        <f>SUM(R7:R12)</f>
        <v>1070874.1119431455</v>
      </c>
      <c r="S13" s="104"/>
      <c r="T13" s="39"/>
      <c r="U13" s="39"/>
      <c r="V13" s="39"/>
      <c r="W13" s="39"/>
      <c r="X13" s="39"/>
      <c r="Z13" s="3"/>
    </row>
    <row r="14" spans="2:26" x14ac:dyDescent="0.25">
      <c r="B14" s="47"/>
      <c r="C14" s="39"/>
      <c r="D14" s="39"/>
      <c r="E14" s="39"/>
      <c r="F14" s="39"/>
      <c r="G14" s="39"/>
      <c r="H14" s="40"/>
      <c r="I14" s="160" t="s">
        <v>43</v>
      </c>
      <c r="J14" s="161"/>
      <c r="K14" s="161"/>
      <c r="L14" s="161"/>
      <c r="M14" s="161"/>
      <c r="N14" s="161"/>
      <c r="O14" s="161"/>
      <c r="P14" s="162"/>
      <c r="Q14" s="26"/>
      <c r="R14" s="48">
        <f>SUM(K22:K737)</f>
        <v>5243.7169720384509</v>
      </c>
    </row>
    <row r="15" spans="2:26" ht="12.75" customHeight="1" x14ac:dyDescent="0.25">
      <c r="B15" s="122" t="s">
        <v>41</v>
      </c>
      <c r="C15" s="123"/>
      <c r="D15" s="18" t="s">
        <v>66</v>
      </c>
      <c r="E15" s="122" t="s">
        <v>40</v>
      </c>
      <c r="F15" s="123"/>
      <c r="G15" s="123"/>
      <c r="H15" s="123"/>
      <c r="I15" s="123"/>
      <c r="J15" s="122" t="s">
        <v>30</v>
      </c>
      <c r="K15" s="123"/>
      <c r="L15" s="123"/>
      <c r="M15" s="123"/>
      <c r="N15" s="123"/>
      <c r="O15" s="123"/>
      <c r="P15" s="123"/>
      <c r="Q15" s="123"/>
      <c r="R15" s="148"/>
    </row>
    <row r="16" spans="2:26" x14ac:dyDescent="0.25">
      <c r="B16" s="108">
        <v>45023</v>
      </c>
      <c r="C16" s="109"/>
      <c r="D16" s="68" t="s">
        <v>112</v>
      </c>
      <c r="E16" s="127" t="s">
        <v>114</v>
      </c>
      <c r="F16" s="109"/>
      <c r="G16" s="109"/>
      <c r="H16" s="109"/>
      <c r="I16" s="128"/>
      <c r="J16" s="127" t="s">
        <v>113</v>
      </c>
      <c r="K16" s="109"/>
      <c r="L16" s="109"/>
      <c r="M16" s="109"/>
      <c r="N16" s="109"/>
      <c r="O16" s="109"/>
      <c r="P16" s="109"/>
      <c r="Q16" s="109"/>
      <c r="R16" s="128"/>
    </row>
    <row r="17" spans="2:19" x14ac:dyDescent="0.25">
      <c r="B17" s="110"/>
      <c r="C17" s="111"/>
      <c r="D17" s="69" t="s">
        <v>115</v>
      </c>
      <c r="E17" s="110"/>
      <c r="F17" s="111"/>
      <c r="G17" s="111"/>
      <c r="H17" s="111"/>
      <c r="I17" s="129"/>
      <c r="J17" s="110"/>
      <c r="K17" s="111"/>
      <c r="L17" s="111"/>
      <c r="M17" s="111"/>
      <c r="N17" s="111"/>
      <c r="O17" s="111"/>
      <c r="P17" s="111"/>
      <c r="Q17" s="111"/>
      <c r="R17" s="129"/>
    </row>
    <row r="18" spans="2:19" ht="12.75" customHeight="1" x14ac:dyDescent="0.25">
      <c r="B18" s="153" t="s">
        <v>5</v>
      </c>
      <c r="C18" s="153" t="s">
        <v>63</v>
      </c>
      <c r="D18" s="154" t="s">
        <v>1</v>
      </c>
      <c r="E18" s="153" t="s">
        <v>6</v>
      </c>
      <c r="F18" s="154" t="s">
        <v>21</v>
      </c>
      <c r="G18" s="154" t="s">
        <v>20</v>
      </c>
      <c r="H18" s="154"/>
      <c r="I18" s="155"/>
      <c r="J18" s="158" t="s">
        <v>19</v>
      </c>
      <c r="K18" s="158"/>
      <c r="L18" s="158"/>
      <c r="M18" s="158"/>
      <c r="N18" s="158"/>
      <c r="O18" s="155"/>
      <c r="P18" s="155"/>
      <c r="Q18" s="157" t="s">
        <v>4</v>
      </c>
      <c r="R18" s="157" t="s">
        <v>74</v>
      </c>
    </row>
    <row r="19" spans="2:19" ht="27.75" customHeight="1" x14ac:dyDescent="0.25">
      <c r="B19" s="154"/>
      <c r="C19" s="153"/>
      <c r="D19" s="154"/>
      <c r="E19" s="154"/>
      <c r="F19" s="154"/>
      <c r="G19" s="30" t="s">
        <v>18</v>
      </c>
      <c r="H19" s="67" t="s">
        <v>18</v>
      </c>
      <c r="I19" s="67" t="s">
        <v>17</v>
      </c>
      <c r="J19" s="66" t="s">
        <v>22</v>
      </c>
      <c r="K19" s="66" t="s">
        <v>7</v>
      </c>
      <c r="L19" s="31" t="s">
        <v>64</v>
      </c>
      <c r="M19" s="31" t="s">
        <v>65</v>
      </c>
      <c r="N19" s="66" t="s">
        <v>65</v>
      </c>
      <c r="O19" s="66" t="s">
        <v>18</v>
      </c>
      <c r="P19" s="67" t="s">
        <v>17</v>
      </c>
      <c r="Q19" s="158"/>
      <c r="R19" s="158"/>
      <c r="S19" s="14"/>
    </row>
    <row r="20" spans="2:19" s="14" customFormat="1" x14ac:dyDescent="0.25">
      <c r="B20" s="65" t="str">
        <f>IF(F20&lt;&gt;"",1+MAX($B$2:B19),"")</f>
        <v/>
      </c>
      <c r="C20" s="32"/>
      <c r="D20" s="33"/>
      <c r="E20" s="26"/>
      <c r="F20" s="34"/>
      <c r="G20" s="35"/>
      <c r="H20" s="35"/>
      <c r="I20" s="36"/>
      <c r="J20" s="36"/>
      <c r="K20" s="26"/>
      <c r="L20" s="26"/>
      <c r="M20" s="36"/>
      <c r="N20" s="36"/>
      <c r="O20" s="35"/>
      <c r="P20" s="36"/>
      <c r="Q20" s="37"/>
      <c r="R20" s="49"/>
    </row>
    <row r="21" spans="2:19" s="14" customFormat="1" x14ac:dyDescent="0.25">
      <c r="B21" s="15" t="str">
        <f>IF(F21&lt;&gt;"",1+MAX($B$2:B20),"")</f>
        <v/>
      </c>
      <c r="C21" s="15" t="s">
        <v>44</v>
      </c>
      <c r="D21" s="8" t="s">
        <v>8</v>
      </c>
      <c r="E21" s="130" t="s">
        <v>69</v>
      </c>
      <c r="F21" s="130"/>
      <c r="G21" s="130"/>
      <c r="H21" s="54">
        <f>SUM(I22:I24)</f>
        <v>0</v>
      </c>
      <c r="I21" s="9">
        <f t="shared" ref="I21" si="0">F21*H21</f>
        <v>0</v>
      </c>
      <c r="J21" s="9"/>
      <c r="K21" s="131" t="s">
        <v>70</v>
      </c>
      <c r="L21" s="131"/>
      <c r="M21" s="131"/>
      <c r="N21" s="131"/>
      <c r="O21" s="54">
        <f>SUM(P22:P24)</f>
        <v>55500</v>
      </c>
      <c r="P21" s="9">
        <f t="shared" ref="P21" si="1">F21*O21</f>
        <v>0</v>
      </c>
      <c r="Q21" s="50">
        <f>SUM(Q22:Q24)</f>
        <v>55500</v>
      </c>
      <c r="R21" s="50">
        <f>(Q21)+(H21*$Q$8)+(O21*$Q$9)+(Q21*$Q$10)+($Q$11*((Q21)+(H21*$Q$8)+(O21*$Q$9)+(Q21*$Q$10)))+(Q21*$Q$12)</f>
        <v>79198.5</v>
      </c>
    </row>
    <row r="22" spans="2:19" x14ac:dyDescent="0.25">
      <c r="B22" s="51"/>
      <c r="C22" s="55"/>
      <c r="D22" s="10"/>
      <c r="E22" s="25"/>
      <c r="F22" s="29"/>
      <c r="G22" s="19"/>
      <c r="H22" s="19">
        <f>G22*$T$2</f>
        <v>0</v>
      </c>
      <c r="I22" s="19">
        <f t="shared" ref="I22" si="2">F22*H22</f>
        <v>0</v>
      </c>
      <c r="J22" s="17"/>
      <c r="K22" s="12">
        <f>F22*J22</f>
        <v>0</v>
      </c>
      <c r="L22" s="12"/>
      <c r="M22" s="19"/>
      <c r="N22" s="19">
        <f>M22*$U$2</f>
        <v>0</v>
      </c>
      <c r="O22" s="19">
        <f>J22*N22</f>
        <v>0</v>
      </c>
      <c r="P22" s="19">
        <f>F22*O22</f>
        <v>0</v>
      </c>
      <c r="Q22" s="19">
        <f t="shared" ref="Q22" si="3">I22+P22</f>
        <v>0</v>
      </c>
      <c r="R22" s="52"/>
      <c r="S22" s="14"/>
    </row>
    <row r="23" spans="2:19" s="14" customFormat="1" x14ac:dyDescent="0.25">
      <c r="B23" s="51">
        <f>IF(F23&lt;&gt;"",1+MAX($B$22:B22),"")</f>
        <v>1</v>
      </c>
      <c r="C23" s="55"/>
      <c r="D23" s="10" t="s">
        <v>67</v>
      </c>
      <c r="E23" s="25" t="s">
        <v>68</v>
      </c>
      <c r="F23" s="41">
        <v>1</v>
      </c>
      <c r="G23" s="94"/>
      <c r="H23" s="94">
        <f t="shared" ref="H23:H24" si="4">G23*$T$2</f>
        <v>0</v>
      </c>
      <c r="I23" s="94">
        <f t="shared" ref="I23:I24" si="5">F23*H23</f>
        <v>0</v>
      </c>
      <c r="J23" s="95"/>
      <c r="K23" s="96">
        <f t="shared" ref="K23:K24" si="6">F23*J23</f>
        <v>0</v>
      </c>
      <c r="L23" s="96"/>
      <c r="M23" s="94"/>
      <c r="N23" s="94">
        <f t="shared" ref="N23:N24" si="7">M23*$U$2</f>
        <v>0</v>
      </c>
      <c r="O23" s="19">
        <v>55500</v>
      </c>
      <c r="P23" s="19">
        <f t="shared" ref="P23:P24" si="8">F23*O23</f>
        <v>55500</v>
      </c>
      <c r="Q23" s="19">
        <f t="shared" ref="Q23:Q24" si="9">I23+P23</f>
        <v>55500</v>
      </c>
      <c r="R23" s="52"/>
    </row>
    <row r="24" spans="2:19" s="14" customFormat="1" x14ac:dyDescent="0.25">
      <c r="B24" s="51" t="str">
        <f>IF(F24&lt;&gt;"",1+MAX($B$22:B23),"")</f>
        <v/>
      </c>
      <c r="C24" s="55"/>
      <c r="D24" s="10"/>
      <c r="E24" s="25"/>
      <c r="F24" s="41"/>
      <c r="G24" s="19"/>
      <c r="H24" s="19">
        <f t="shared" si="4"/>
        <v>0</v>
      </c>
      <c r="I24" s="19">
        <f t="shared" si="5"/>
        <v>0</v>
      </c>
      <c r="J24" s="17"/>
      <c r="K24" s="12">
        <f t="shared" si="6"/>
        <v>0</v>
      </c>
      <c r="L24" s="12"/>
      <c r="M24" s="19"/>
      <c r="N24" s="19">
        <f t="shared" si="7"/>
        <v>0</v>
      </c>
      <c r="O24" s="19">
        <f t="shared" ref="O24" si="10">J24*N24</f>
        <v>0</v>
      </c>
      <c r="P24" s="19">
        <f t="shared" si="8"/>
        <v>0</v>
      </c>
      <c r="Q24" s="19">
        <f t="shared" si="9"/>
        <v>0</v>
      </c>
      <c r="R24" s="52"/>
    </row>
    <row r="25" spans="2:19" s="14" customFormat="1" ht="12.75" customHeight="1" x14ac:dyDescent="0.25">
      <c r="B25" s="15" t="str">
        <f>IF(F25&lt;&gt;"",1+MAX($B$22:B24),"")</f>
        <v/>
      </c>
      <c r="C25" s="15" t="s">
        <v>45</v>
      </c>
      <c r="D25" s="8" t="s">
        <v>9</v>
      </c>
      <c r="E25" s="130" t="s">
        <v>69</v>
      </c>
      <c r="F25" s="130"/>
      <c r="G25" s="130"/>
      <c r="H25" s="54">
        <f>SUM(I26:I41)</f>
        <v>947.39029840000001</v>
      </c>
      <c r="I25" s="9">
        <f t="shared" ref="I25:I41" si="11">F25*H25</f>
        <v>0</v>
      </c>
      <c r="J25" s="9"/>
      <c r="K25" s="131" t="s">
        <v>70</v>
      </c>
      <c r="L25" s="131"/>
      <c r="M25" s="131"/>
      <c r="N25" s="131"/>
      <c r="O25" s="54">
        <f>SUM(P26:P41)</f>
        <v>11706.2286400384</v>
      </c>
      <c r="P25" s="9">
        <f t="shared" ref="P25:P41" si="12">F25*O25</f>
        <v>0</v>
      </c>
      <c r="Q25" s="50">
        <f>SUM(Q26:Q41)</f>
        <v>12653.6189384384</v>
      </c>
      <c r="R25" s="50">
        <f>(Q25)+(H25*$Q$8)+(O25*$Q$9)+(Q25*$Q$10)+($Q$11*((Q25)+(H25*$Q$8)+(O25*$Q$9)+(Q25*$Q$10)))+(Q25*$Q$12)</f>
        <v>18018.060700976876</v>
      </c>
    </row>
    <row r="26" spans="2:19" x14ac:dyDescent="0.25">
      <c r="B26" s="51" t="str">
        <f>IF(F26&lt;&gt;"",1+MAX($B$22:B25),"")</f>
        <v/>
      </c>
      <c r="C26" s="55"/>
      <c r="D26" s="10"/>
      <c r="E26" s="25"/>
      <c r="F26" s="41"/>
      <c r="G26" s="19"/>
      <c r="H26" s="19">
        <f t="shared" ref="H26:H41" si="13">G26*$T$2</f>
        <v>0</v>
      </c>
      <c r="I26" s="19">
        <f t="shared" si="11"/>
        <v>0</v>
      </c>
      <c r="J26" s="17"/>
      <c r="K26" s="12">
        <f t="shared" ref="K26:K41" si="14">F26*J26</f>
        <v>0</v>
      </c>
      <c r="L26" s="12"/>
      <c r="M26" s="19"/>
      <c r="N26" s="19">
        <f t="shared" ref="N26:N41" si="15">M26*$U$2</f>
        <v>0</v>
      </c>
      <c r="O26" s="19">
        <f t="shared" ref="O26:O41" si="16">J26*N26</f>
        <v>0</v>
      </c>
      <c r="P26" s="19">
        <f t="shared" si="12"/>
        <v>0</v>
      </c>
      <c r="Q26" s="19">
        <f t="shared" ref="Q26:Q41" si="17">I26+P26</f>
        <v>0</v>
      </c>
      <c r="R26" s="52"/>
      <c r="S26" s="14"/>
    </row>
    <row r="27" spans="2:19" x14ac:dyDescent="0.25">
      <c r="B27" s="70" t="str">
        <f>IF(F27&lt;&gt;"",1+MAX($B$22:B26),"")</f>
        <v/>
      </c>
      <c r="C27" s="71"/>
      <c r="D27" s="72" t="s">
        <v>111</v>
      </c>
      <c r="E27" s="25"/>
      <c r="F27" s="41"/>
      <c r="G27" s="19"/>
      <c r="H27" s="19">
        <f t="shared" si="13"/>
        <v>0</v>
      </c>
      <c r="I27" s="19">
        <f t="shared" si="11"/>
        <v>0</v>
      </c>
      <c r="J27" s="17"/>
      <c r="K27" s="12">
        <f t="shared" si="14"/>
        <v>0</v>
      </c>
      <c r="L27" s="12"/>
      <c r="M27" s="19"/>
      <c r="N27" s="19">
        <f t="shared" si="15"/>
        <v>0</v>
      </c>
      <c r="O27" s="19">
        <f t="shared" si="16"/>
        <v>0</v>
      </c>
      <c r="P27" s="19">
        <f t="shared" si="12"/>
        <v>0</v>
      </c>
      <c r="Q27" s="19">
        <f t="shared" si="17"/>
        <v>0</v>
      </c>
      <c r="R27" s="52"/>
    </row>
    <row r="28" spans="2:19" ht="27.6" x14ac:dyDescent="0.25">
      <c r="B28" s="51">
        <f>IF(F28&lt;&gt;"",1+MAX($B$22:B27),"")</f>
        <v>2</v>
      </c>
      <c r="C28" s="132" t="s">
        <v>199</v>
      </c>
      <c r="D28" s="10" t="s">
        <v>132</v>
      </c>
      <c r="E28" s="25" t="s">
        <v>82</v>
      </c>
      <c r="F28" s="41">
        <v>107.4</v>
      </c>
      <c r="G28" s="94"/>
      <c r="H28" s="94">
        <f t="shared" si="13"/>
        <v>0</v>
      </c>
      <c r="I28" s="94">
        <f t="shared" si="11"/>
        <v>0</v>
      </c>
      <c r="J28" s="17">
        <v>7.4999999999999997E-2</v>
      </c>
      <c r="K28" s="12">
        <f t="shared" si="14"/>
        <v>8.0549999999999997</v>
      </c>
      <c r="L28" s="12" t="s">
        <v>624</v>
      </c>
      <c r="M28" s="19">
        <v>42.1</v>
      </c>
      <c r="N28" s="19">
        <f t="shared" si="15"/>
        <v>35.027200000000001</v>
      </c>
      <c r="O28" s="19">
        <f t="shared" si="16"/>
        <v>2.62704</v>
      </c>
      <c r="P28" s="19">
        <f t="shared" si="12"/>
        <v>282.14409600000005</v>
      </c>
      <c r="Q28" s="19">
        <f t="shared" si="17"/>
        <v>282.14409600000005</v>
      </c>
      <c r="R28" s="52"/>
    </row>
    <row r="29" spans="2:19" x14ac:dyDescent="0.25">
      <c r="B29" s="51">
        <f>IF(F29&lt;&gt;"",1+MAX($B$22:B28),"")</f>
        <v>3</v>
      </c>
      <c r="C29" s="132"/>
      <c r="D29" s="10" t="s">
        <v>203</v>
      </c>
      <c r="E29" s="25" t="s">
        <v>82</v>
      </c>
      <c r="F29" s="41">
        <v>454.94</v>
      </c>
      <c r="G29" s="94"/>
      <c r="H29" s="94">
        <f t="shared" si="13"/>
        <v>0</v>
      </c>
      <c r="I29" s="94">
        <f t="shared" si="11"/>
        <v>0</v>
      </c>
      <c r="J29" s="17">
        <v>5.3999999999999999E-2</v>
      </c>
      <c r="K29" s="12">
        <f t="shared" si="14"/>
        <v>24.566759999999999</v>
      </c>
      <c r="L29" s="12" t="s">
        <v>624</v>
      </c>
      <c r="M29" s="19">
        <v>42.1</v>
      </c>
      <c r="N29" s="19">
        <f t="shared" si="15"/>
        <v>35.027200000000001</v>
      </c>
      <c r="O29" s="19">
        <f t="shared" si="16"/>
        <v>1.8914688</v>
      </c>
      <c r="P29" s="19">
        <f t="shared" si="12"/>
        <v>860.50481587199999</v>
      </c>
      <c r="Q29" s="19">
        <f t="shared" si="17"/>
        <v>860.50481587199999</v>
      </c>
      <c r="R29" s="52"/>
    </row>
    <row r="30" spans="2:19" x14ac:dyDescent="0.25">
      <c r="B30" s="51">
        <f>IF(F30&lt;&gt;"",1+MAX($B$22:B29),"")</f>
        <v>4</v>
      </c>
      <c r="C30" s="132"/>
      <c r="D30" s="10" t="s">
        <v>204</v>
      </c>
      <c r="E30" s="25" t="s">
        <v>82</v>
      </c>
      <c r="F30" s="41">
        <v>193.04</v>
      </c>
      <c r="G30" s="94"/>
      <c r="H30" s="94">
        <f t="shared" si="13"/>
        <v>0</v>
      </c>
      <c r="I30" s="94">
        <f t="shared" si="11"/>
        <v>0</v>
      </c>
      <c r="J30" s="17">
        <v>5.1999999999999998E-2</v>
      </c>
      <c r="K30" s="12">
        <f t="shared" si="14"/>
        <v>10.038079999999999</v>
      </c>
      <c r="L30" s="12" t="s">
        <v>624</v>
      </c>
      <c r="M30" s="19">
        <v>42.1</v>
      </c>
      <c r="N30" s="19">
        <f t="shared" si="15"/>
        <v>35.027200000000001</v>
      </c>
      <c r="O30" s="19">
        <f t="shared" si="16"/>
        <v>1.8214143999999999</v>
      </c>
      <c r="P30" s="19">
        <f t="shared" si="12"/>
        <v>351.60583577599994</v>
      </c>
      <c r="Q30" s="19">
        <f t="shared" si="17"/>
        <v>351.60583577599994</v>
      </c>
      <c r="R30" s="52"/>
    </row>
    <row r="31" spans="2:19" x14ac:dyDescent="0.25">
      <c r="B31" s="51" t="str">
        <f>IF(F31&lt;&gt;"",1+MAX($B$22:B30),"")</f>
        <v/>
      </c>
      <c r="C31" s="132"/>
      <c r="D31" s="10"/>
      <c r="E31" s="25"/>
      <c r="F31" s="41"/>
      <c r="G31" s="19"/>
      <c r="H31" s="19">
        <f t="shared" si="13"/>
        <v>0</v>
      </c>
      <c r="I31" s="19">
        <f t="shared" si="11"/>
        <v>0</v>
      </c>
      <c r="J31" s="17"/>
      <c r="K31" s="12">
        <f t="shared" si="14"/>
        <v>0</v>
      </c>
      <c r="L31" s="12"/>
      <c r="M31" s="19"/>
      <c r="N31" s="19">
        <f t="shared" si="15"/>
        <v>0</v>
      </c>
      <c r="O31" s="19">
        <f t="shared" si="16"/>
        <v>0</v>
      </c>
      <c r="P31" s="19">
        <f t="shared" si="12"/>
        <v>0</v>
      </c>
      <c r="Q31" s="19">
        <f t="shared" si="17"/>
        <v>0</v>
      </c>
      <c r="R31" s="52"/>
    </row>
    <row r="32" spans="2:19" x14ac:dyDescent="0.25">
      <c r="B32" s="51" t="str">
        <f>IF(F32&lt;&gt;"",1+MAX($B$22:B31),"")</f>
        <v/>
      </c>
      <c r="C32" s="132"/>
      <c r="D32" s="53" t="s">
        <v>623</v>
      </c>
      <c r="E32" s="25"/>
      <c r="F32" s="41"/>
      <c r="G32" s="19"/>
      <c r="H32" s="19">
        <f t="shared" si="13"/>
        <v>0</v>
      </c>
      <c r="I32" s="19">
        <f t="shared" si="11"/>
        <v>0</v>
      </c>
      <c r="J32" s="17"/>
      <c r="K32" s="12">
        <f t="shared" si="14"/>
        <v>0</v>
      </c>
      <c r="L32" s="12"/>
      <c r="M32" s="19"/>
      <c r="N32" s="19">
        <f t="shared" si="15"/>
        <v>0</v>
      </c>
      <c r="O32" s="19">
        <f t="shared" si="16"/>
        <v>0</v>
      </c>
      <c r="P32" s="19">
        <f t="shared" si="12"/>
        <v>0</v>
      </c>
      <c r="Q32" s="19">
        <f t="shared" si="17"/>
        <v>0</v>
      </c>
      <c r="R32" s="52"/>
    </row>
    <row r="33" spans="2:19" ht="289.8" x14ac:dyDescent="0.25">
      <c r="B33" s="51">
        <f>IF(F33&lt;&gt;"",1+MAX($B$22:B32),"")</f>
        <v>5</v>
      </c>
      <c r="C33" s="132"/>
      <c r="D33" s="10" t="s">
        <v>136</v>
      </c>
      <c r="E33" s="25" t="s">
        <v>68</v>
      </c>
      <c r="F33" s="41">
        <v>1</v>
      </c>
      <c r="G33" s="94"/>
      <c r="H33" s="94">
        <f t="shared" si="13"/>
        <v>0</v>
      </c>
      <c r="I33" s="94">
        <f t="shared" si="11"/>
        <v>0</v>
      </c>
      <c r="J33" s="17">
        <v>225</v>
      </c>
      <c r="K33" s="12">
        <f t="shared" si="14"/>
        <v>225</v>
      </c>
      <c r="L33" s="12" t="s">
        <v>624</v>
      </c>
      <c r="M33" s="19">
        <v>42.1</v>
      </c>
      <c r="N33" s="19">
        <f t="shared" si="15"/>
        <v>35.027200000000001</v>
      </c>
      <c r="O33" s="19">
        <f t="shared" si="16"/>
        <v>7881.12</v>
      </c>
      <c r="P33" s="19">
        <f t="shared" si="12"/>
        <v>7881.12</v>
      </c>
      <c r="Q33" s="19">
        <f t="shared" si="17"/>
        <v>7881.12</v>
      </c>
      <c r="R33" s="52"/>
    </row>
    <row r="34" spans="2:19" x14ac:dyDescent="0.25">
      <c r="B34" s="51" t="str">
        <f>IF(F34&lt;&gt;"",1+MAX($B$22:B33),"")</f>
        <v/>
      </c>
      <c r="C34" s="55"/>
      <c r="D34" s="10"/>
      <c r="E34" s="25"/>
      <c r="F34" s="41"/>
      <c r="G34" s="19"/>
      <c r="H34" s="19">
        <f t="shared" si="13"/>
        <v>0</v>
      </c>
      <c r="I34" s="19">
        <f t="shared" si="11"/>
        <v>0</v>
      </c>
      <c r="J34" s="17"/>
      <c r="K34" s="12">
        <f t="shared" si="14"/>
        <v>0</v>
      </c>
      <c r="L34" s="12"/>
      <c r="M34" s="19"/>
      <c r="N34" s="19">
        <f t="shared" si="15"/>
        <v>0</v>
      </c>
      <c r="O34" s="19">
        <f t="shared" si="16"/>
        <v>0</v>
      </c>
      <c r="P34" s="19">
        <f t="shared" si="12"/>
        <v>0</v>
      </c>
      <c r="Q34" s="19">
        <f t="shared" si="17"/>
        <v>0</v>
      </c>
      <c r="R34" s="52"/>
    </row>
    <row r="35" spans="2:19" x14ac:dyDescent="0.25">
      <c r="B35" s="51" t="str">
        <f>IF(F35&lt;&gt;"",1+MAX($B$22:B34),"")</f>
        <v/>
      </c>
      <c r="C35" s="55"/>
      <c r="D35" s="53" t="s">
        <v>205</v>
      </c>
      <c r="E35" s="25"/>
      <c r="F35" s="73"/>
      <c r="G35" s="19"/>
      <c r="H35" s="19">
        <f t="shared" si="13"/>
        <v>0</v>
      </c>
      <c r="I35" s="19">
        <f t="shared" si="11"/>
        <v>0</v>
      </c>
      <c r="J35" s="17"/>
      <c r="K35" s="12">
        <f t="shared" si="14"/>
        <v>0</v>
      </c>
      <c r="L35" s="12"/>
      <c r="M35" s="19"/>
      <c r="N35" s="19">
        <f t="shared" si="15"/>
        <v>0</v>
      </c>
      <c r="O35" s="19">
        <f t="shared" si="16"/>
        <v>0</v>
      </c>
      <c r="P35" s="19">
        <f t="shared" si="12"/>
        <v>0</v>
      </c>
      <c r="Q35" s="19">
        <f t="shared" si="17"/>
        <v>0</v>
      </c>
      <c r="R35" s="52"/>
    </row>
    <row r="36" spans="2:19" x14ac:dyDescent="0.25">
      <c r="B36" s="51">
        <f>IF(F36&lt;&gt;"",1+MAX($B$22:B35),"")</f>
        <v>6</v>
      </c>
      <c r="C36" s="55"/>
      <c r="D36" s="10" t="s">
        <v>206</v>
      </c>
      <c r="E36" s="25" t="s">
        <v>82</v>
      </c>
      <c r="F36" s="41">
        <v>454.94</v>
      </c>
      <c r="G36" s="19">
        <v>1.34</v>
      </c>
      <c r="H36" s="19">
        <f t="shared" si="13"/>
        <v>1.36412</v>
      </c>
      <c r="I36" s="19">
        <f t="shared" si="11"/>
        <v>620.59275279999997</v>
      </c>
      <c r="J36" s="17">
        <v>6.8000000000000005E-2</v>
      </c>
      <c r="K36" s="12">
        <f t="shared" si="14"/>
        <v>30.935920000000003</v>
      </c>
      <c r="L36" s="97" t="s">
        <v>625</v>
      </c>
      <c r="M36" s="98">
        <v>47.93</v>
      </c>
      <c r="N36" s="19">
        <f t="shared" si="15"/>
        <v>39.877759999999995</v>
      </c>
      <c r="O36" s="19">
        <f t="shared" si="16"/>
        <v>2.7116876799999998</v>
      </c>
      <c r="P36" s="19">
        <f t="shared" si="12"/>
        <v>1233.6551931391998</v>
      </c>
      <c r="Q36" s="19">
        <f t="shared" si="17"/>
        <v>1854.2479459391998</v>
      </c>
      <c r="R36" s="52"/>
    </row>
    <row r="37" spans="2:19" x14ac:dyDescent="0.25">
      <c r="B37" s="51">
        <f>IF(F37&lt;&gt;"",1+MAX($B$22:B36),"")</f>
        <v>7</v>
      </c>
      <c r="C37" s="55"/>
      <c r="D37" s="10" t="s">
        <v>207</v>
      </c>
      <c r="E37" s="25" t="s">
        <v>82</v>
      </c>
      <c r="F37" s="41">
        <v>193.04</v>
      </c>
      <c r="G37" s="19">
        <v>0.41</v>
      </c>
      <c r="H37" s="19">
        <f t="shared" si="13"/>
        <v>0.41737999999999997</v>
      </c>
      <c r="I37" s="19">
        <f t="shared" si="11"/>
        <v>80.571035199999997</v>
      </c>
      <c r="J37" s="17">
        <v>3.5999999999999997E-2</v>
      </c>
      <c r="K37" s="12">
        <f t="shared" si="14"/>
        <v>6.9494399999999992</v>
      </c>
      <c r="L37" s="97" t="s">
        <v>626</v>
      </c>
      <c r="M37" s="98">
        <v>44.4</v>
      </c>
      <c r="N37" s="19">
        <f t="shared" si="15"/>
        <v>36.940799999999996</v>
      </c>
      <c r="O37" s="19">
        <f t="shared" si="16"/>
        <v>1.3298687999999999</v>
      </c>
      <c r="P37" s="19">
        <f t="shared" si="12"/>
        <v>256.71787315199998</v>
      </c>
      <c r="Q37" s="19">
        <f t="shared" si="17"/>
        <v>337.28890835199996</v>
      </c>
      <c r="R37" s="52"/>
    </row>
    <row r="38" spans="2:19" x14ac:dyDescent="0.25">
      <c r="B38" s="51">
        <f>IF(F38&lt;&gt;"",1+MAX($B$22:B37),"")</f>
        <v>8</v>
      </c>
      <c r="C38" s="132" t="s">
        <v>199</v>
      </c>
      <c r="D38" s="10" t="s">
        <v>133</v>
      </c>
      <c r="E38" s="25" t="s">
        <v>82</v>
      </c>
      <c r="F38" s="41">
        <v>465.14</v>
      </c>
      <c r="G38" s="19">
        <v>0.52</v>
      </c>
      <c r="H38" s="19">
        <f t="shared" si="13"/>
        <v>0.52936000000000005</v>
      </c>
      <c r="I38" s="19">
        <f t="shared" si="11"/>
        <v>246.22651040000002</v>
      </c>
      <c r="J38" s="17">
        <v>1.4999999999999999E-2</v>
      </c>
      <c r="K38" s="12">
        <f t="shared" si="14"/>
        <v>6.9770999999999992</v>
      </c>
      <c r="L38" s="97" t="s">
        <v>627</v>
      </c>
      <c r="M38" s="98">
        <v>47.35</v>
      </c>
      <c r="N38" s="19">
        <f t="shared" si="15"/>
        <v>39.395200000000003</v>
      </c>
      <c r="O38" s="19">
        <f t="shared" si="16"/>
        <v>0.59092800000000001</v>
      </c>
      <c r="P38" s="19">
        <f t="shared" si="12"/>
        <v>274.86424992000002</v>
      </c>
      <c r="Q38" s="19">
        <f t="shared" si="17"/>
        <v>521.09076032000007</v>
      </c>
      <c r="R38" s="52"/>
    </row>
    <row r="39" spans="2:19" ht="55.2" x14ac:dyDescent="0.25">
      <c r="B39" s="51">
        <f>IF(F39&lt;&gt;"",1+MAX($B$22:B38),"")</f>
        <v>9</v>
      </c>
      <c r="C39" s="132"/>
      <c r="D39" s="10" t="s">
        <v>135</v>
      </c>
      <c r="E39" s="25" t="s">
        <v>86</v>
      </c>
      <c r="F39" s="41">
        <v>113.29</v>
      </c>
      <c r="G39" s="94"/>
      <c r="H39" s="94">
        <f t="shared" si="13"/>
        <v>0</v>
      </c>
      <c r="I39" s="94">
        <f t="shared" si="11"/>
        <v>0</v>
      </c>
      <c r="J39" s="17">
        <v>4.2000000000000003E-2</v>
      </c>
      <c r="K39" s="12">
        <f t="shared" si="14"/>
        <v>4.7581800000000003</v>
      </c>
      <c r="L39" s="97" t="s">
        <v>628</v>
      </c>
      <c r="M39" s="98">
        <v>114.74</v>
      </c>
      <c r="N39" s="19">
        <f t="shared" si="15"/>
        <v>95.463679999999997</v>
      </c>
      <c r="O39" s="19">
        <f t="shared" si="16"/>
        <v>4.0094745600000001</v>
      </c>
      <c r="P39" s="19">
        <f t="shared" si="12"/>
        <v>454.23337290240005</v>
      </c>
      <c r="Q39" s="19">
        <f t="shared" si="17"/>
        <v>454.23337290240005</v>
      </c>
      <c r="R39" s="52"/>
    </row>
    <row r="40" spans="2:19" ht="55.2" x14ac:dyDescent="0.25">
      <c r="B40" s="51">
        <f>IF(F40&lt;&gt;"",1+MAX($B$22:B39),"")</f>
        <v>10</v>
      </c>
      <c r="C40" s="132"/>
      <c r="D40" s="10" t="s">
        <v>134</v>
      </c>
      <c r="E40" s="25" t="s">
        <v>86</v>
      </c>
      <c r="F40" s="41">
        <v>27.78</v>
      </c>
      <c r="G40" s="94"/>
      <c r="H40" s="94">
        <f t="shared" si="13"/>
        <v>0</v>
      </c>
      <c r="I40" s="94">
        <f t="shared" si="11"/>
        <v>0</v>
      </c>
      <c r="J40" s="17">
        <v>4.2000000000000003E-2</v>
      </c>
      <c r="K40" s="12">
        <f t="shared" si="14"/>
        <v>1.16676</v>
      </c>
      <c r="L40" s="97" t="s">
        <v>628</v>
      </c>
      <c r="M40" s="98">
        <v>114.74</v>
      </c>
      <c r="N40" s="19">
        <f t="shared" si="15"/>
        <v>95.463679999999997</v>
      </c>
      <c r="O40" s="19">
        <f t="shared" si="16"/>
        <v>4.0094745600000001</v>
      </c>
      <c r="P40" s="19">
        <f t="shared" si="12"/>
        <v>111.3832032768</v>
      </c>
      <c r="Q40" s="19">
        <f t="shared" si="17"/>
        <v>111.3832032768</v>
      </c>
      <c r="R40" s="52"/>
    </row>
    <row r="41" spans="2:19" s="14" customFormat="1" x14ac:dyDescent="0.25">
      <c r="B41" s="51" t="str">
        <f>IF(F41&lt;&gt;"",1+MAX($B$22:B40),"")</f>
        <v/>
      </c>
      <c r="C41" s="55"/>
      <c r="D41" s="10"/>
      <c r="E41" s="25"/>
      <c r="F41" s="41"/>
      <c r="G41" s="19"/>
      <c r="H41" s="19">
        <f t="shared" si="13"/>
        <v>0</v>
      </c>
      <c r="I41" s="19">
        <f t="shared" si="11"/>
        <v>0</v>
      </c>
      <c r="J41" s="17"/>
      <c r="K41" s="12">
        <f t="shared" si="14"/>
        <v>0</v>
      </c>
      <c r="L41" s="12"/>
      <c r="M41" s="19"/>
      <c r="N41" s="19">
        <f t="shared" si="15"/>
        <v>0</v>
      </c>
      <c r="O41" s="19">
        <f t="shared" si="16"/>
        <v>0</v>
      </c>
      <c r="P41" s="19">
        <f t="shared" si="12"/>
        <v>0</v>
      </c>
      <c r="Q41" s="19">
        <f t="shared" si="17"/>
        <v>0</v>
      </c>
      <c r="R41" s="52"/>
    </row>
    <row r="42" spans="2:19" s="14" customFormat="1" ht="12.75" customHeight="1" x14ac:dyDescent="0.25">
      <c r="B42" s="15" t="str">
        <f>IF(F42&lt;&gt;"",1+MAX($B$22:B41),"")</f>
        <v/>
      </c>
      <c r="C42" s="15" t="s">
        <v>46</v>
      </c>
      <c r="D42" s="8" t="s">
        <v>10</v>
      </c>
      <c r="E42" s="130" t="s">
        <v>69</v>
      </c>
      <c r="F42" s="130"/>
      <c r="G42" s="130"/>
      <c r="H42" s="54">
        <f>SUM(I43:I60)</f>
        <v>3778.6248244260742</v>
      </c>
      <c r="I42" s="9">
        <f t="shared" ref="I42:I60" si="18">F42*H42</f>
        <v>0</v>
      </c>
      <c r="J42" s="9"/>
      <c r="K42" s="131" t="s">
        <v>70</v>
      </c>
      <c r="L42" s="131"/>
      <c r="M42" s="131"/>
      <c r="N42" s="131"/>
      <c r="O42" s="54">
        <f>SUM(P43:P60)</f>
        <v>3460.273711433164</v>
      </c>
      <c r="P42" s="9">
        <f t="shared" ref="P42:P60" si="19">F42*O42</f>
        <v>0</v>
      </c>
      <c r="Q42" s="50">
        <f>SUM(Q43:Q60)</f>
        <v>7238.8985358592372</v>
      </c>
      <c r="R42" s="50">
        <f>(Q42)+(H42*$Q$8)+(O42*$Q$9)+(Q42*$Q$10)+($Q$11*((Q42)+(H42*$Q$8)+(O42*$Q$9)+(Q42*$Q$10)))+(Q42*$Q$12)</f>
        <v>10175.740317834548</v>
      </c>
    </row>
    <row r="43" spans="2:19" x14ac:dyDescent="0.25">
      <c r="B43" s="51" t="str">
        <f>IF(F43&lt;&gt;"",1+MAX($B$22:B42),"")</f>
        <v/>
      </c>
      <c r="C43" s="55"/>
      <c r="D43" s="10"/>
      <c r="E43" s="25"/>
      <c r="F43" s="41"/>
      <c r="G43" s="19"/>
      <c r="H43" s="19">
        <f t="shared" ref="H43:H60" si="20">G43*$T$2</f>
        <v>0</v>
      </c>
      <c r="I43" s="19">
        <f t="shared" si="18"/>
        <v>0</v>
      </c>
      <c r="J43" s="17"/>
      <c r="K43" s="12">
        <f t="shared" ref="K43:K60" si="21">F43*J43</f>
        <v>0</v>
      </c>
      <c r="L43" s="12"/>
      <c r="M43" s="19"/>
      <c r="N43" s="19">
        <f t="shared" ref="N43:N60" si="22">M43*$U$2</f>
        <v>0</v>
      </c>
      <c r="O43" s="19">
        <f t="shared" ref="O43:O60" si="23">J43*N43</f>
        <v>0</v>
      </c>
      <c r="P43" s="19">
        <f t="shared" si="19"/>
        <v>0</v>
      </c>
      <c r="Q43" s="19">
        <f t="shared" ref="Q43:Q60" si="24">I43+P43</f>
        <v>0</v>
      </c>
      <c r="R43" s="52"/>
      <c r="S43" s="14"/>
    </row>
    <row r="44" spans="2:19" x14ac:dyDescent="0.25">
      <c r="B44" s="70" t="str">
        <f>IF(F44&lt;&gt;"",1+MAX($B$22:B43),"")</f>
        <v/>
      </c>
      <c r="C44" s="71"/>
      <c r="D44" s="72" t="s">
        <v>110</v>
      </c>
      <c r="E44" s="25"/>
      <c r="F44" s="41"/>
      <c r="G44" s="19"/>
      <c r="H44" s="19">
        <f t="shared" si="20"/>
        <v>0</v>
      </c>
      <c r="I44" s="19">
        <f t="shared" si="18"/>
        <v>0</v>
      </c>
      <c r="J44" s="17"/>
      <c r="K44" s="12">
        <f t="shared" si="21"/>
        <v>0</v>
      </c>
      <c r="L44" s="12"/>
      <c r="M44" s="19"/>
      <c r="N44" s="19">
        <f t="shared" si="22"/>
        <v>0</v>
      </c>
      <c r="O44" s="19">
        <f t="shared" si="23"/>
        <v>0</v>
      </c>
      <c r="P44" s="19">
        <f t="shared" si="19"/>
        <v>0</v>
      </c>
      <c r="Q44" s="19">
        <f t="shared" si="24"/>
        <v>0</v>
      </c>
      <c r="R44" s="52"/>
    </row>
    <row r="45" spans="2:19" ht="55.2" x14ac:dyDescent="0.25">
      <c r="B45" s="51">
        <f>IF(F45&lt;&gt;"",1+MAX($B$22:B44),"")</f>
        <v>11</v>
      </c>
      <c r="C45" s="132" t="s">
        <v>199</v>
      </c>
      <c r="D45" s="10" t="s">
        <v>137</v>
      </c>
      <c r="E45" s="25" t="s">
        <v>82</v>
      </c>
      <c r="F45" s="41">
        <v>40.9</v>
      </c>
      <c r="G45" s="19">
        <v>4.59</v>
      </c>
      <c r="H45" s="19">
        <f t="shared" si="20"/>
        <v>4.6726200000000002</v>
      </c>
      <c r="I45" s="19">
        <f t="shared" si="18"/>
        <v>191.11015800000001</v>
      </c>
      <c r="J45" s="17">
        <v>8.1000000000000003E-2</v>
      </c>
      <c r="K45" s="12">
        <f t="shared" si="21"/>
        <v>3.3129</v>
      </c>
      <c r="L45" s="97" t="s">
        <v>627</v>
      </c>
      <c r="M45" s="98">
        <v>47.35</v>
      </c>
      <c r="N45" s="19">
        <f t="shared" si="22"/>
        <v>39.395200000000003</v>
      </c>
      <c r="O45" s="19">
        <f t="shared" si="23"/>
        <v>3.1910112000000002</v>
      </c>
      <c r="P45" s="19">
        <f t="shared" si="19"/>
        <v>130.51235808000001</v>
      </c>
      <c r="Q45" s="19">
        <f t="shared" si="24"/>
        <v>321.62251608000003</v>
      </c>
      <c r="R45" s="52"/>
    </row>
    <row r="46" spans="2:19" ht="69" x14ac:dyDescent="0.25">
      <c r="B46" s="51">
        <f>IF(F46&lt;&gt;"",1+MAX($B$22:B45),"")</f>
        <v>12</v>
      </c>
      <c r="C46" s="132"/>
      <c r="D46" s="10" t="s">
        <v>138</v>
      </c>
      <c r="E46" s="25" t="s">
        <v>82</v>
      </c>
      <c r="F46" s="41">
        <v>681.7</v>
      </c>
      <c r="G46" s="19">
        <v>2.59</v>
      </c>
      <c r="H46" s="19">
        <f t="shared" si="20"/>
        <v>2.6366199999999997</v>
      </c>
      <c r="I46" s="19">
        <f t="shared" si="18"/>
        <v>1797.3838539999999</v>
      </c>
      <c r="J46" s="17">
        <v>7.2999999999999995E-2</v>
      </c>
      <c r="K46" s="12">
        <f t="shared" si="21"/>
        <v>49.764099999999999</v>
      </c>
      <c r="L46" s="97" t="s">
        <v>627</v>
      </c>
      <c r="M46" s="98">
        <v>47.35</v>
      </c>
      <c r="N46" s="19">
        <f t="shared" si="22"/>
        <v>39.395200000000003</v>
      </c>
      <c r="O46" s="19">
        <f t="shared" si="23"/>
        <v>2.8758496</v>
      </c>
      <c r="P46" s="19">
        <f t="shared" si="19"/>
        <v>1960.46667232</v>
      </c>
      <c r="Q46" s="19">
        <f t="shared" si="24"/>
        <v>3757.85052632</v>
      </c>
      <c r="R46" s="52"/>
    </row>
    <row r="47" spans="2:19" x14ac:dyDescent="0.25">
      <c r="B47" s="51" t="str">
        <f>IF(F47&lt;&gt;"",1+MAX($B$22:B46),"")</f>
        <v/>
      </c>
      <c r="C47" s="132"/>
      <c r="D47" s="10"/>
      <c r="E47" s="25"/>
      <c r="F47" s="73"/>
      <c r="G47" s="19"/>
      <c r="H47" s="19">
        <f t="shared" si="20"/>
        <v>0</v>
      </c>
      <c r="I47" s="19">
        <f t="shared" si="18"/>
        <v>0</v>
      </c>
      <c r="J47" s="17"/>
      <c r="K47" s="12">
        <f t="shared" si="21"/>
        <v>0</v>
      </c>
      <c r="L47" s="12"/>
      <c r="M47" s="19"/>
      <c r="N47" s="19">
        <f t="shared" si="22"/>
        <v>0</v>
      </c>
      <c r="O47" s="19">
        <f t="shared" si="23"/>
        <v>0</v>
      </c>
      <c r="P47" s="19">
        <f t="shared" si="19"/>
        <v>0</v>
      </c>
      <c r="Q47" s="19">
        <f t="shared" si="24"/>
        <v>0</v>
      </c>
      <c r="R47" s="52"/>
    </row>
    <row r="48" spans="2:19" x14ac:dyDescent="0.25">
      <c r="B48" s="51" t="str">
        <f>IF(F48&lt;&gt;"",1+MAX($B$22:B47),"")</f>
        <v/>
      </c>
      <c r="C48" s="132"/>
      <c r="D48" s="53" t="s">
        <v>139</v>
      </c>
      <c r="E48" s="25"/>
      <c r="F48" s="73"/>
      <c r="G48" s="19"/>
      <c r="H48" s="19">
        <f t="shared" si="20"/>
        <v>0</v>
      </c>
      <c r="I48" s="19">
        <f t="shared" si="18"/>
        <v>0</v>
      </c>
      <c r="J48" s="17"/>
      <c r="K48" s="12">
        <f t="shared" si="21"/>
        <v>0</v>
      </c>
      <c r="L48" s="12"/>
      <c r="M48" s="19"/>
      <c r="N48" s="19">
        <f t="shared" si="22"/>
        <v>0</v>
      </c>
      <c r="O48" s="19">
        <f t="shared" si="23"/>
        <v>0</v>
      </c>
      <c r="P48" s="19">
        <f t="shared" si="19"/>
        <v>0</v>
      </c>
      <c r="Q48" s="19">
        <f t="shared" si="24"/>
        <v>0</v>
      </c>
      <c r="R48" s="52"/>
    </row>
    <row r="49" spans="2:19" x14ac:dyDescent="0.25">
      <c r="B49" s="51">
        <f>IF(F49&lt;&gt;"",1+MAX($B$22:B48),"")</f>
        <v>13</v>
      </c>
      <c r="C49" s="132"/>
      <c r="D49" s="10" t="s">
        <v>140</v>
      </c>
      <c r="E49" s="25" t="s">
        <v>86</v>
      </c>
      <c r="F49" s="41">
        <v>12.8</v>
      </c>
      <c r="G49" s="19">
        <v>0.94</v>
      </c>
      <c r="H49" s="19">
        <f t="shared" si="20"/>
        <v>0.95691999999999999</v>
      </c>
      <c r="I49" s="19">
        <f t="shared" si="18"/>
        <v>12.248576</v>
      </c>
      <c r="J49" s="17">
        <v>0.04</v>
      </c>
      <c r="K49" s="12">
        <f t="shared" si="21"/>
        <v>0.51200000000000001</v>
      </c>
      <c r="L49" s="97" t="s">
        <v>629</v>
      </c>
      <c r="M49" s="98">
        <v>53.15</v>
      </c>
      <c r="N49" s="19">
        <f t="shared" si="22"/>
        <v>44.220799999999997</v>
      </c>
      <c r="O49" s="19">
        <f t="shared" si="23"/>
        <v>1.768832</v>
      </c>
      <c r="P49" s="19">
        <f t="shared" si="19"/>
        <v>22.641049600000002</v>
      </c>
      <c r="Q49" s="19">
        <f t="shared" si="24"/>
        <v>34.889625600000002</v>
      </c>
      <c r="R49" s="52"/>
    </row>
    <row r="50" spans="2:19" x14ac:dyDescent="0.25">
      <c r="B50" s="51" t="str">
        <f>IF(F50&lt;&gt;"",1+MAX($B$22:B49),"")</f>
        <v/>
      </c>
      <c r="C50" s="55"/>
      <c r="D50" s="10"/>
      <c r="E50" s="25"/>
      <c r="F50" s="41"/>
      <c r="G50" s="19"/>
      <c r="H50" s="19">
        <f t="shared" si="20"/>
        <v>0</v>
      </c>
      <c r="I50" s="19">
        <f t="shared" si="18"/>
        <v>0</v>
      </c>
      <c r="J50" s="17"/>
      <c r="K50" s="12">
        <f t="shared" si="21"/>
        <v>0</v>
      </c>
      <c r="L50" s="12"/>
      <c r="M50" s="19"/>
      <c r="N50" s="19">
        <f t="shared" si="22"/>
        <v>0</v>
      </c>
      <c r="O50" s="19">
        <f t="shared" si="23"/>
        <v>0</v>
      </c>
      <c r="P50" s="19">
        <f t="shared" si="19"/>
        <v>0</v>
      </c>
      <c r="Q50" s="19">
        <f t="shared" si="24"/>
        <v>0</v>
      </c>
      <c r="R50" s="52"/>
    </row>
    <row r="51" spans="2:19" x14ac:dyDescent="0.25">
      <c r="B51" s="70" t="str">
        <f>IF(F51&lt;&gt;"",1+MAX($B$22:B50),"")</f>
        <v/>
      </c>
      <c r="C51" s="71"/>
      <c r="D51" s="72" t="s">
        <v>81</v>
      </c>
      <c r="E51" s="25"/>
      <c r="F51" s="41"/>
      <c r="G51" s="19"/>
      <c r="H51" s="19">
        <f t="shared" si="20"/>
        <v>0</v>
      </c>
      <c r="I51" s="19">
        <f t="shared" si="18"/>
        <v>0</v>
      </c>
      <c r="J51" s="17"/>
      <c r="K51" s="12">
        <f t="shared" si="21"/>
        <v>0</v>
      </c>
      <c r="L51" s="12"/>
      <c r="M51" s="19"/>
      <c r="N51" s="19">
        <f t="shared" si="22"/>
        <v>0</v>
      </c>
      <c r="O51" s="19">
        <f t="shared" si="23"/>
        <v>0</v>
      </c>
      <c r="P51" s="19">
        <f t="shared" si="19"/>
        <v>0</v>
      </c>
      <c r="Q51" s="19">
        <f t="shared" si="24"/>
        <v>0</v>
      </c>
      <c r="R51" s="52"/>
    </row>
    <row r="52" spans="2:19" x14ac:dyDescent="0.25">
      <c r="B52" s="51">
        <f>IF(F52&lt;&gt;"",1+MAX($B$22:B51),"")</f>
        <v>14</v>
      </c>
      <c r="C52" s="55" t="s">
        <v>199</v>
      </c>
      <c r="D52" s="10" t="s">
        <v>143</v>
      </c>
      <c r="E52" s="25" t="s">
        <v>84</v>
      </c>
      <c r="F52" s="73">
        <f>21.72*0.92*0.67/27</f>
        <v>0.49585955555555555</v>
      </c>
      <c r="G52" s="19">
        <v>366</v>
      </c>
      <c r="H52" s="19">
        <f t="shared" si="20"/>
        <v>372.58800000000002</v>
      </c>
      <c r="I52" s="19">
        <f t="shared" si="18"/>
        <v>184.75132008533333</v>
      </c>
      <c r="J52" s="17">
        <v>5.0170000000000003</v>
      </c>
      <c r="K52" s="12">
        <f t="shared" si="21"/>
        <v>2.4877273902222226</v>
      </c>
      <c r="L52" s="97" t="s">
        <v>630</v>
      </c>
      <c r="M52" s="98">
        <v>54.81</v>
      </c>
      <c r="N52" s="19">
        <f t="shared" si="22"/>
        <v>45.60192</v>
      </c>
      <c r="O52" s="19">
        <f t="shared" si="23"/>
        <v>228.78483264000002</v>
      </c>
      <c r="P52" s="19">
        <f t="shared" si="19"/>
        <v>113.44514543072258</v>
      </c>
      <c r="Q52" s="19">
        <f t="shared" si="24"/>
        <v>298.19646551605592</v>
      </c>
      <c r="R52" s="52"/>
    </row>
    <row r="53" spans="2:19" x14ac:dyDescent="0.25">
      <c r="B53" s="51" t="str">
        <f>IF(F53&lt;&gt;"",1+MAX($B$22:B52),"")</f>
        <v/>
      </c>
      <c r="C53" s="55"/>
      <c r="D53" s="10"/>
      <c r="E53" s="25"/>
      <c r="F53" s="41"/>
      <c r="G53" s="19"/>
      <c r="H53" s="19">
        <f t="shared" si="20"/>
        <v>0</v>
      </c>
      <c r="I53" s="19">
        <f t="shared" si="18"/>
        <v>0</v>
      </c>
      <c r="J53" s="17"/>
      <c r="K53" s="12">
        <f t="shared" si="21"/>
        <v>0</v>
      </c>
      <c r="L53" s="12"/>
      <c r="M53" s="19"/>
      <c r="N53" s="19">
        <f t="shared" si="22"/>
        <v>0</v>
      </c>
      <c r="O53" s="19">
        <f t="shared" si="23"/>
        <v>0</v>
      </c>
      <c r="P53" s="19">
        <f t="shared" si="19"/>
        <v>0</v>
      </c>
      <c r="Q53" s="19">
        <f t="shared" si="24"/>
        <v>0</v>
      </c>
      <c r="R53" s="52"/>
    </row>
    <row r="54" spans="2:19" x14ac:dyDescent="0.25">
      <c r="B54" s="70" t="str">
        <f>IF(F54&lt;&gt;"",1+MAX($B$22:B53),"")</f>
        <v/>
      </c>
      <c r="C54" s="71"/>
      <c r="D54" s="72" t="s">
        <v>107</v>
      </c>
      <c r="E54" s="25"/>
      <c r="F54" s="41"/>
      <c r="G54" s="19"/>
      <c r="H54" s="19">
        <f t="shared" si="20"/>
        <v>0</v>
      </c>
      <c r="I54" s="19">
        <f t="shared" si="18"/>
        <v>0</v>
      </c>
      <c r="J54" s="17"/>
      <c r="K54" s="12">
        <f t="shared" si="21"/>
        <v>0</v>
      </c>
      <c r="L54" s="12"/>
      <c r="M54" s="19"/>
      <c r="N54" s="19">
        <f t="shared" si="22"/>
        <v>0</v>
      </c>
      <c r="O54" s="19">
        <f t="shared" si="23"/>
        <v>0</v>
      </c>
      <c r="P54" s="19">
        <f t="shared" si="19"/>
        <v>0</v>
      </c>
      <c r="Q54" s="19">
        <f t="shared" si="24"/>
        <v>0</v>
      </c>
      <c r="R54" s="52"/>
    </row>
    <row r="55" spans="2:19" x14ac:dyDescent="0.25">
      <c r="B55" s="51">
        <f>IF(F55&lt;&gt;"",1+MAX($B$22:B54),"")</f>
        <v>15</v>
      </c>
      <c r="C55" s="132" t="s">
        <v>199</v>
      </c>
      <c r="D55" s="10" t="s">
        <v>141</v>
      </c>
      <c r="E55" s="25" t="s">
        <v>84</v>
      </c>
      <c r="F55" s="73">
        <f>25.01*1.33*1/27</f>
        <v>1.2319740740740741</v>
      </c>
      <c r="G55" s="19">
        <v>310</v>
      </c>
      <c r="H55" s="19">
        <f t="shared" si="20"/>
        <v>315.58</v>
      </c>
      <c r="I55" s="19">
        <f t="shared" si="18"/>
        <v>388.78637829629628</v>
      </c>
      <c r="J55" s="17">
        <v>5.7300928670223277</v>
      </c>
      <c r="K55" s="12">
        <f t="shared" si="21"/>
        <v>7.0593258542082884</v>
      </c>
      <c r="L55" s="97" t="s">
        <v>631</v>
      </c>
      <c r="M55" s="98">
        <v>50.61</v>
      </c>
      <c r="N55" s="19">
        <f t="shared" si="22"/>
        <v>42.107520000000001</v>
      </c>
      <c r="O55" s="19">
        <f t="shared" si="23"/>
        <v>241.28</v>
      </c>
      <c r="P55" s="19">
        <f t="shared" si="19"/>
        <v>297.25070459259263</v>
      </c>
      <c r="Q55" s="19">
        <f t="shared" si="24"/>
        <v>686.0370828888889</v>
      </c>
      <c r="R55" s="52"/>
    </row>
    <row r="56" spans="2:19" x14ac:dyDescent="0.25">
      <c r="B56" s="51">
        <f>IF(F56&lt;&gt;"",1+MAX($B$22:B55),"")</f>
        <v>16</v>
      </c>
      <c r="C56" s="132"/>
      <c r="D56" s="10" t="s">
        <v>142</v>
      </c>
      <c r="E56" s="25" t="s">
        <v>84</v>
      </c>
      <c r="F56" s="73">
        <f>52.5*1.33*1/27</f>
        <v>2.5861111111111112</v>
      </c>
      <c r="G56" s="19">
        <v>310</v>
      </c>
      <c r="H56" s="19">
        <f t="shared" si="20"/>
        <v>315.58</v>
      </c>
      <c r="I56" s="19">
        <f t="shared" si="18"/>
        <v>816.1249444444444</v>
      </c>
      <c r="J56" s="17">
        <v>5.7300928670223277</v>
      </c>
      <c r="K56" s="12">
        <f t="shared" si="21"/>
        <v>14.818656831104965</v>
      </c>
      <c r="L56" s="97" t="s">
        <v>631</v>
      </c>
      <c r="M56" s="98">
        <v>50.61</v>
      </c>
      <c r="N56" s="19">
        <f t="shared" si="22"/>
        <v>42.107520000000001</v>
      </c>
      <c r="O56" s="19">
        <f t="shared" si="23"/>
        <v>241.28</v>
      </c>
      <c r="P56" s="19">
        <f t="shared" si="19"/>
        <v>623.97688888888888</v>
      </c>
      <c r="Q56" s="19">
        <f t="shared" si="24"/>
        <v>1440.1018333333332</v>
      </c>
      <c r="R56" s="52"/>
    </row>
    <row r="57" spans="2:19" s="14" customFormat="1" x14ac:dyDescent="0.25">
      <c r="B57" s="51" t="str">
        <f>IF(F57&lt;&gt;"",1+MAX($B$22:B56),"")</f>
        <v/>
      </c>
      <c r="C57" s="55"/>
      <c r="D57" s="10"/>
      <c r="E57" s="25"/>
      <c r="F57" s="41"/>
      <c r="G57" s="19"/>
      <c r="H57" s="19">
        <f t="shared" si="20"/>
        <v>0</v>
      </c>
      <c r="I57" s="19">
        <f t="shared" si="18"/>
        <v>0</v>
      </c>
      <c r="J57" s="17"/>
      <c r="K57" s="12">
        <f t="shared" si="21"/>
        <v>0</v>
      </c>
      <c r="L57" s="12"/>
      <c r="M57" s="19"/>
      <c r="N57" s="19">
        <f t="shared" si="22"/>
        <v>0</v>
      </c>
      <c r="O57" s="19">
        <f t="shared" si="23"/>
        <v>0</v>
      </c>
      <c r="P57" s="19">
        <f t="shared" si="19"/>
        <v>0</v>
      </c>
      <c r="Q57" s="19">
        <f t="shared" si="24"/>
        <v>0</v>
      </c>
      <c r="R57" s="52"/>
    </row>
    <row r="58" spans="2:19" x14ac:dyDescent="0.25">
      <c r="B58" s="70" t="str">
        <f>IF(F58&lt;&gt;"",1+MAX($B$22:B57),"")</f>
        <v/>
      </c>
      <c r="C58" s="71"/>
      <c r="D58" s="72" t="s">
        <v>108</v>
      </c>
      <c r="E58" s="25"/>
      <c r="F58" s="41"/>
      <c r="G58" s="19"/>
      <c r="H58" s="19">
        <f t="shared" si="20"/>
        <v>0</v>
      </c>
      <c r="I58" s="19">
        <f t="shared" si="18"/>
        <v>0</v>
      </c>
      <c r="J58" s="17"/>
      <c r="K58" s="12">
        <f t="shared" si="21"/>
        <v>0</v>
      </c>
      <c r="L58" s="12"/>
      <c r="M58" s="19"/>
      <c r="N58" s="19">
        <f t="shared" si="22"/>
        <v>0</v>
      </c>
      <c r="O58" s="19">
        <f t="shared" si="23"/>
        <v>0</v>
      </c>
      <c r="P58" s="19">
        <f t="shared" si="19"/>
        <v>0</v>
      </c>
      <c r="Q58" s="19">
        <f t="shared" si="24"/>
        <v>0</v>
      </c>
      <c r="R58" s="52"/>
    </row>
    <row r="59" spans="2:19" s="14" customFormat="1" x14ac:dyDescent="0.25">
      <c r="B59" s="51">
        <f>IF(F59&lt;&gt;"",1+MAX($B$22:B58),"")</f>
        <v>17</v>
      </c>
      <c r="C59" s="55" t="s">
        <v>199</v>
      </c>
      <c r="D59" s="10" t="s">
        <v>109</v>
      </c>
      <c r="E59" s="25" t="s">
        <v>82</v>
      </c>
      <c r="F59" s="41">
        <f>((52.5+1.33)*2*1)+((25.01+1.33)*2*1)+((21.72+0.92)*2*0.67)</f>
        <v>190.67760000000001</v>
      </c>
      <c r="G59" s="19">
        <v>2</v>
      </c>
      <c r="H59" s="19">
        <f t="shared" si="20"/>
        <v>2.036</v>
      </c>
      <c r="I59" s="19">
        <f t="shared" si="18"/>
        <v>388.21959360000005</v>
      </c>
      <c r="J59" s="17">
        <v>3.6999999999999998E-2</v>
      </c>
      <c r="K59" s="12">
        <f t="shared" si="21"/>
        <v>7.0550712000000004</v>
      </c>
      <c r="L59" s="97" t="s">
        <v>632</v>
      </c>
      <c r="M59" s="98">
        <v>53.15</v>
      </c>
      <c r="N59" s="19">
        <f t="shared" si="22"/>
        <v>44.220799999999997</v>
      </c>
      <c r="O59" s="19">
        <f t="shared" si="23"/>
        <v>1.6361695999999999</v>
      </c>
      <c r="P59" s="19">
        <f t="shared" si="19"/>
        <v>311.98089252096003</v>
      </c>
      <c r="Q59" s="19">
        <f t="shared" si="24"/>
        <v>700.20048612096002</v>
      </c>
      <c r="R59" s="52"/>
    </row>
    <row r="60" spans="2:19" s="14" customFormat="1" x14ac:dyDescent="0.25">
      <c r="B60" s="51" t="str">
        <f>IF(F60&lt;&gt;"",1+MAX($B$22:B59),"")</f>
        <v/>
      </c>
      <c r="C60" s="55"/>
      <c r="D60" s="10"/>
      <c r="E60" s="25"/>
      <c r="F60" s="41"/>
      <c r="G60" s="19"/>
      <c r="H60" s="19">
        <f t="shared" si="20"/>
        <v>0</v>
      </c>
      <c r="I60" s="19">
        <f t="shared" si="18"/>
        <v>0</v>
      </c>
      <c r="J60" s="17"/>
      <c r="K60" s="12">
        <f t="shared" si="21"/>
        <v>0</v>
      </c>
      <c r="L60" s="12"/>
      <c r="M60" s="19"/>
      <c r="N60" s="19">
        <f t="shared" si="22"/>
        <v>0</v>
      </c>
      <c r="O60" s="19">
        <f t="shared" si="23"/>
        <v>0</v>
      </c>
      <c r="P60" s="19">
        <f t="shared" si="19"/>
        <v>0</v>
      </c>
      <c r="Q60" s="19">
        <f t="shared" si="24"/>
        <v>0</v>
      </c>
      <c r="R60" s="52"/>
    </row>
    <row r="61" spans="2:19" s="14" customFormat="1" ht="12.75" customHeight="1" x14ac:dyDescent="0.25">
      <c r="B61" s="15" t="str">
        <f>IF(F61&lt;&gt;"",1+MAX($B$22:B60),"")</f>
        <v/>
      </c>
      <c r="C61" s="15" t="s">
        <v>47</v>
      </c>
      <c r="D61" s="8" t="s">
        <v>11</v>
      </c>
      <c r="E61" s="130" t="s">
        <v>69</v>
      </c>
      <c r="F61" s="130"/>
      <c r="G61" s="130"/>
      <c r="H61" s="54">
        <f>SUM(I62:I82)</f>
        <v>4697.6491331464003</v>
      </c>
      <c r="I61" s="9">
        <f t="shared" ref="I61:I82" si="25">F61*H61</f>
        <v>0</v>
      </c>
      <c r="J61" s="9"/>
      <c r="K61" s="131" t="s">
        <v>70</v>
      </c>
      <c r="L61" s="131"/>
      <c r="M61" s="131"/>
      <c r="N61" s="131"/>
      <c r="O61" s="54">
        <f>SUM(P62:P82)</f>
        <v>8573.6224071639517</v>
      </c>
      <c r="P61" s="9">
        <f t="shared" ref="P61:P82" si="26">F61*O61</f>
        <v>0</v>
      </c>
      <c r="Q61" s="50">
        <f>SUM(Q62:Q82)</f>
        <v>13271.271540310352</v>
      </c>
      <c r="R61" s="50">
        <f>(Q61)+(H61*$Q$8)+(O61*$Q$9)+(Q61*$Q$10)+($Q$11*((Q61)+(H61*$Q$8)+(O61*$Q$9)+(Q61*$Q$10)))+(Q61*$Q$12)</f>
        <v>18746.440403390498</v>
      </c>
    </row>
    <row r="62" spans="2:19" x14ac:dyDescent="0.25">
      <c r="B62" s="51" t="str">
        <f>IF(F62&lt;&gt;"",1+MAX($B$22:B61),"")</f>
        <v/>
      </c>
      <c r="C62" s="55"/>
      <c r="D62" s="10"/>
      <c r="E62" s="25"/>
      <c r="F62" s="41"/>
      <c r="G62" s="19"/>
      <c r="H62" s="19">
        <f t="shared" ref="H62:H82" si="27">G62*$T$2</f>
        <v>0</v>
      </c>
      <c r="I62" s="19">
        <f t="shared" si="25"/>
        <v>0</v>
      </c>
      <c r="J62" s="17"/>
      <c r="K62" s="12">
        <f t="shared" ref="K62:K82" si="28">F62*J62</f>
        <v>0</v>
      </c>
      <c r="L62" s="12"/>
      <c r="M62" s="19"/>
      <c r="N62" s="19">
        <f t="shared" ref="N62:N82" si="29">M62*$U$2</f>
        <v>0</v>
      </c>
      <c r="O62" s="19">
        <f t="shared" ref="O62:O82" si="30">J62*N62</f>
        <v>0</v>
      </c>
      <c r="P62" s="19">
        <f t="shared" si="26"/>
        <v>0</v>
      </c>
      <c r="Q62" s="19">
        <f t="shared" ref="Q62:Q82" si="31">I62+P62</f>
        <v>0</v>
      </c>
      <c r="R62" s="52"/>
      <c r="S62" s="14"/>
    </row>
    <row r="63" spans="2:19" x14ac:dyDescent="0.25">
      <c r="B63" s="70" t="str">
        <f>IF(F63&lt;&gt;"",1+MAX($B$22:B62),"")</f>
        <v/>
      </c>
      <c r="C63" s="71"/>
      <c r="D63" s="72" t="s">
        <v>81</v>
      </c>
      <c r="E63" s="25"/>
      <c r="F63" s="41"/>
      <c r="G63" s="19"/>
      <c r="H63" s="19">
        <f t="shared" si="27"/>
        <v>0</v>
      </c>
      <c r="I63" s="19">
        <f t="shared" si="25"/>
        <v>0</v>
      </c>
      <c r="J63" s="17"/>
      <c r="K63" s="12">
        <f t="shared" si="28"/>
        <v>0</v>
      </c>
      <c r="L63" s="12"/>
      <c r="M63" s="19"/>
      <c r="N63" s="19">
        <f t="shared" si="29"/>
        <v>0</v>
      </c>
      <c r="O63" s="19">
        <f t="shared" si="30"/>
        <v>0</v>
      </c>
      <c r="P63" s="19">
        <f t="shared" si="26"/>
        <v>0</v>
      </c>
      <c r="Q63" s="19">
        <f t="shared" si="31"/>
        <v>0</v>
      </c>
      <c r="R63" s="52"/>
    </row>
    <row r="64" spans="2:19" x14ac:dyDescent="0.25">
      <c r="B64" s="51">
        <f>IF(F64&lt;&gt;"",1+MAX($B$22:B63),"")</f>
        <v>18</v>
      </c>
      <c r="C64" s="132" t="s">
        <v>199</v>
      </c>
      <c r="D64" s="10" t="s">
        <v>146</v>
      </c>
      <c r="E64" s="25" t="s">
        <v>82</v>
      </c>
      <c r="F64" s="41">
        <f>25.01*2</f>
        <v>50.02</v>
      </c>
      <c r="G64" s="19">
        <v>4.54</v>
      </c>
      <c r="H64" s="19">
        <f t="shared" si="27"/>
        <v>4.6217199999999998</v>
      </c>
      <c r="I64" s="19">
        <f t="shared" si="25"/>
        <v>231.17843440000001</v>
      </c>
      <c r="J64" s="17">
        <v>0.2</v>
      </c>
      <c r="K64" s="12">
        <f t="shared" si="28"/>
        <v>10.004000000000001</v>
      </c>
      <c r="L64" s="97" t="s">
        <v>633</v>
      </c>
      <c r="M64" s="98">
        <v>46.9</v>
      </c>
      <c r="N64" s="19">
        <f t="shared" si="29"/>
        <v>39.020799999999994</v>
      </c>
      <c r="O64" s="19">
        <f t="shared" si="30"/>
        <v>7.8041599999999995</v>
      </c>
      <c r="P64" s="19">
        <f t="shared" si="26"/>
        <v>390.36408319999998</v>
      </c>
      <c r="Q64" s="19">
        <f t="shared" si="31"/>
        <v>621.5425176</v>
      </c>
      <c r="R64" s="52"/>
    </row>
    <row r="65" spans="2:18" x14ac:dyDescent="0.25">
      <c r="B65" s="51">
        <f>IF(F65&lt;&gt;"",1+MAX($B$22:B64),"")</f>
        <v>19</v>
      </c>
      <c r="C65" s="132"/>
      <c r="D65" s="74" t="s">
        <v>83</v>
      </c>
      <c r="E65" s="25" t="s">
        <v>84</v>
      </c>
      <c r="F65" s="73">
        <f>(F64/100)*1.12</f>
        <v>0.56022400000000006</v>
      </c>
      <c r="G65" s="19">
        <v>144.44999999999999</v>
      </c>
      <c r="H65" s="19">
        <f t="shared" si="27"/>
        <v>147.05009999999999</v>
      </c>
      <c r="I65" s="19">
        <f t="shared" si="25"/>
        <v>82.380995222400003</v>
      </c>
      <c r="J65" s="17">
        <v>2.194</v>
      </c>
      <c r="K65" s="12">
        <f t="shared" si="28"/>
        <v>1.2291314560000002</v>
      </c>
      <c r="L65" s="97" t="s">
        <v>634</v>
      </c>
      <c r="M65" s="98">
        <v>53.03</v>
      </c>
      <c r="N65" s="19">
        <f t="shared" si="29"/>
        <v>44.120959999999997</v>
      </c>
      <c r="O65" s="19">
        <f t="shared" si="30"/>
        <v>96.801386239999985</v>
      </c>
      <c r="P65" s="19">
        <f t="shared" si="26"/>
        <v>54.230459804917757</v>
      </c>
      <c r="Q65" s="19">
        <f t="shared" si="31"/>
        <v>136.61145502731776</v>
      </c>
      <c r="R65" s="52"/>
    </row>
    <row r="66" spans="2:18" x14ac:dyDescent="0.25">
      <c r="B66" s="51">
        <f>IF(F66&lt;&gt;"",1+MAX($B$22:B65),"")</f>
        <v>20</v>
      </c>
      <c r="C66" s="132"/>
      <c r="D66" s="74" t="s">
        <v>85</v>
      </c>
      <c r="E66" s="25" t="s">
        <v>84</v>
      </c>
      <c r="F66" s="73">
        <f>((F64*0.67)*0.25)/27</f>
        <v>0.31030925925925928</v>
      </c>
      <c r="G66" s="19">
        <v>167.4</v>
      </c>
      <c r="H66" s="19">
        <f t="shared" si="27"/>
        <v>170.41320000000002</v>
      </c>
      <c r="I66" s="19">
        <f t="shared" si="25"/>
        <v>52.880793860000011</v>
      </c>
      <c r="J66" s="17">
        <v>1.1910000000000001</v>
      </c>
      <c r="K66" s="12">
        <f t="shared" si="28"/>
        <v>0.36957832777777783</v>
      </c>
      <c r="L66" s="97" t="s">
        <v>634</v>
      </c>
      <c r="M66" s="98">
        <v>53.03</v>
      </c>
      <c r="N66" s="19">
        <f t="shared" si="29"/>
        <v>44.120959999999997</v>
      </c>
      <c r="O66" s="19">
        <f t="shared" si="30"/>
        <v>52.54806336</v>
      </c>
      <c r="P66" s="19">
        <f t="shared" si="26"/>
        <v>16.306150616750223</v>
      </c>
      <c r="Q66" s="19">
        <f t="shared" si="31"/>
        <v>69.186944476750227</v>
      </c>
      <c r="R66" s="52"/>
    </row>
    <row r="67" spans="2:18" x14ac:dyDescent="0.25">
      <c r="B67" s="51" t="str">
        <f>IF(F67&lt;&gt;"",1+MAX($B$22:B66),"")</f>
        <v/>
      </c>
      <c r="C67" s="55"/>
      <c r="D67" s="10"/>
      <c r="E67" s="25"/>
      <c r="F67" s="41"/>
      <c r="G67" s="19"/>
      <c r="H67" s="19">
        <f t="shared" si="27"/>
        <v>0</v>
      </c>
      <c r="I67" s="19">
        <f t="shared" si="25"/>
        <v>0</v>
      </c>
      <c r="J67" s="17"/>
      <c r="K67" s="12">
        <f t="shared" si="28"/>
        <v>0</v>
      </c>
      <c r="L67" s="12"/>
      <c r="M67" s="19"/>
      <c r="N67" s="19">
        <f t="shared" si="29"/>
        <v>0</v>
      </c>
      <c r="O67" s="19">
        <f t="shared" si="30"/>
        <v>0</v>
      </c>
      <c r="P67" s="19">
        <f t="shared" si="26"/>
        <v>0</v>
      </c>
      <c r="Q67" s="19">
        <f t="shared" si="31"/>
        <v>0</v>
      </c>
      <c r="R67" s="52"/>
    </row>
    <row r="68" spans="2:18" x14ac:dyDescent="0.25">
      <c r="B68" s="51">
        <f>IF(F68&lt;&gt;"",1+MAX($B$22:B67),"")</f>
        <v>21</v>
      </c>
      <c r="C68" s="132" t="s">
        <v>199</v>
      </c>
      <c r="D68" s="10" t="s">
        <v>208</v>
      </c>
      <c r="E68" s="25" t="s">
        <v>82</v>
      </c>
      <c r="F68" s="41">
        <v>303</v>
      </c>
      <c r="G68" s="19">
        <v>3.03</v>
      </c>
      <c r="H68" s="19">
        <f t="shared" si="27"/>
        <v>3.0845400000000001</v>
      </c>
      <c r="I68" s="19">
        <f t="shared" si="25"/>
        <v>934.61562000000004</v>
      </c>
      <c r="J68" s="17">
        <v>0.16500000000000001</v>
      </c>
      <c r="K68" s="12">
        <f t="shared" si="28"/>
        <v>49.995000000000005</v>
      </c>
      <c r="L68" s="97" t="s">
        <v>633</v>
      </c>
      <c r="M68" s="98">
        <v>46.9</v>
      </c>
      <c r="N68" s="19">
        <f t="shared" si="29"/>
        <v>39.020799999999994</v>
      </c>
      <c r="O68" s="19">
        <f t="shared" si="30"/>
        <v>6.4384319999999997</v>
      </c>
      <c r="P68" s="19">
        <f t="shared" si="26"/>
        <v>1950.8448959999998</v>
      </c>
      <c r="Q68" s="19">
        <f t="shared" si="31"/>
        <v>2885.4605160000001</v>
      </c>
      <c r="R68" s="52"/>
    </row>
    <row r="69" spans="2:18" x14ac:dyDescent="0.25">
      <c r="B69" s="51">
        <f>IF(F69&lt;&gt;"",1+MAX($B$22:B68),"")</f>
        <v>22</v>
      </c>
      <c r="C69" s="132"/>
      <c r="D69" s="74" t="s">
        <v>209</v>
      </c>
      <c r="E69" s="25" t="s">
        <v>84</v>
      </c>
      <c r="F69" s="73">
        <f>(F68/100)*0.7</f>
        <v>2.1209999999999996</v>
      </c>
      <c r="G69" s="19">
        <v>144.44999999999999</v>
      </c>
      <c r="H69" s="19">
        <f t="shared" si="27"/>
        <v>147.05009999999999</v>
      </c>
      <c r="I69" s="19">
        <f t="shared" si="25"/>
        <v>311.8932620999999</v>
      </c>
      <c r="J69" s="17">
        <v>2.194</v>
      </c>
      <c r="K69" s="12">
        <f t="shared" si="28"/>
        <v>4.6534739999999992</v>
      </c>
      <c r="L69" s="97" t="s">
        <v>634</v>
      </c>
      <c r="M69" s="98">
        <v>53.03</v>
      </c>
      <c r="N69" s="19">
        <f t="shared" si="29"/>
        <v>44.120959999999997</v>
      </c>
      <c r="O69" s="19">
        <f t="shared" si="30"/>
        <v>96.801386239999985</v>
      </c>
      <c r="P69" s="19">
        <f t="shared" si="26"/>
        <v>205.31574021503994</v>
      </c>
      <c r="Q69" s="19">
        <f t="shared" si="31"/>
        <v>517.20900231503981</v>
      </c>
      <c r="R69" s="52"/>
    </row>
    <row r="70" spans="2:18" x14ac:dyDescent="0.25">
      <c r="B70" s="51">
        <f>IF(F70&lt;&gt;"",1+MAX($B$22:B69),"")</f>
        <v>23</v>
      </c>
      <c r="C70" s="132"/>
      <c r="D70" s="74" t="s">
        <v>210</v>
      </c>
      <c r="E70" s="25" t="s">
        <v>84</v>
      </c>
      <c r="F70" s="73">
        <f>((F68*0.33)*0.25)/27</f>
        <v>0.9258333333333334</v>
      </c>
      <c r="G70" s="19">
        <v>167.4</v>
      </c>
      <c r="H70" s="19">
        <f t="shared" si="27"/>
        <v>170.41320000000002</v>
      </c>
      <c r="I70" s="19">
        <f t="shared" si="25"/>
        <v>157.77422100000004</v>
      </c>
      <c r="J70" s="17">
        <v>1.1910000000000001</v>
      </c>
      <c r="K70" s="12">
        <f t="shared" si="28"/>
        <v>1.1026675000000001</v>
      </c>
      <c r="L70" s="97" t="s">
        <v>634</v>
      </c>
      <c r="M70" s="98">
        <v>53.03</v>
      </c>
      <c r="N70" s="19">
        <f t="shared" si="29"/>
        <v>44.120959999999997</v>
      </c>
      <c r="O70" s="19">
        <f t="shared" si="30"/>
        <v>52.54806336</v>
      </c>
      <c r="P70" s="19">
        <f t="shared" si="26"/>
        <v>48.650748660800005</v>
      </c>
      <c r="Q70" s="19">
        <f t="shared" si="31"/>
        <v>206.42496966080006</v>
      </c>
      <c r="R70" s="52"/>
    </row>
    <row r="71" spans="2:18" s="14" customFormat="1" ht="12.75" customHeight="1" x14ac:dyDescent="0.25">
      <c r="B71" s="80" t="str">
        <f>IF(F71&lt;&gt;"",1+MAX($B$22:B70),"")</f>
        <v/>
      </c>
      <c r="C71" s="80"/>
      <c r="D71" s="53"/>
      <c r="E71" s="93"/>
      <c r="F71" s="93"/>
      <c r="G71" s="19"/>
      <c r="H71" s="19">
        <f t="shared" si="27"/>
        <v>0</v>
      </c>
      <c r="I71" s="19">
        <f t="shared" si="25"/>
        <v>0</v>
      </c>
      <c r="J71" s="17"/>
      <c r="K71" s="12">
        <f t="shared" si="28"/>
        <v>0</v>
      </c>
      <c r="L71" s="12"/>
      <c r="M71" s="19"/>
      <c r="N71" s="19">
        <f t="shared" si="29"/>
        <v>0</v>
      </c>
      <c r="O71" s="19">
        <f t="shared" si="30"/>
        <v>0</v>
      </c>
      <c r="P71" s="19">
        <f t="shared" si="26"/>
        <v>0</v>
      </c>
      <c r="Q71" s="19">
        <f t="shared" si="31"/>
        <v>0</v>
      </c>
      <c r="R71" s="52"/>
    </row>
    <row r="72" spans="2:18" x14ac:dyDescent="0.25">
      <c r="B72" s="70" t="str">
        <f>IF(F72&lt;&gt;"",1+MAX($B$22:B71),"")</f>
        <v/>
      </c>
      <c r="C72" s="71"/>
      <c r="D72" s="72" t="s">
        <v>211</v>
      </c>
      <c r="E72" s="25"/>
      <c r="F72" s="41"/>
      <c r="G72" s="19"/>
      <c r="H72" s="19">
        <f t="shared" si="27"/>
        <v>0</v>
      </c>
      <c r="I72" s="19">
        <f t="shared" si="25"/>
        <v>0</v>
      </c>
      <c r="J72" s="17"/>
      <c r="K72" s="12">
        <f t="shared" si="28"/>
        <v>0</v>
      </c>
      <c r="L72" s="12"/>
      <c r="M72" s="19"/>
      <c r="N72" s="19">
        <f t="shared" si="29"/>
        <v>0</v>
      </c>
      <c r="O72" s="19">
        <f t="shared" si="30"/>
        <v>0</v>
      </c>
      <c r="P72" s="19">
        <f t="shared" si="26"/>
        <v>0</v>
      </c>
      <c r="Q72" s="19">
        <f t="shared" si="31"/>
        <v>0</v>
      </c>
      <c r="R72" s="52"/>
    </row>
    <row r="73" spans="2:18" x14ac:dyDescent="0.25">
      <c r="B73" s="51" t="str">
        <f>IF(F73&lt;&gt;"",1+MAX($B$22:B72),"")</f>
        <v/>
      </c>
      <c r="C73" s="55"/>
      <c r="D73" s="10"/>
      <c r="E73" s="25"/>
      <c r="F73" s="41"/>
      <c r="G73" s="19"/>
      <c r="H73" s="19">
        <f t="shared" si="27"/>
        <v>0</v>
      </c>
      <c r="I73" s="19">
        <f t="shared" si="25"/>
        <v>0</v>
      </c>
      <c r="J73" s="17"/>
      <c r="K73" s="12">
        <f t="shared" si="28"/>
        <v>0</v>
      </c>
      <c r="L73" s="12"/>
      <c r="M73" s="19"/>
      <c r="N73" s="19">
        <f t="shared" si="29"/>
        <v>0</v>
      </c>
      <c r="O73" s="19">
        <f t="shared" si="30"/>
        <v>0</v>
      </c>
      <c r="P73" s="19">
        <f t="shared" si="26"/>
        <v>0</v>
      </c>
      <c r="Q73" s="19">
        <f t="shared" si="31"/>
        <v>0</v>
      </c>
      <c r="R73" s="52"/>
    </row>
    <row r="74" spans="2:18" x14ac:dyDescent="0.25">
      <c r="B74" s="51" t="str">
        <f>IF(F74&lt;&gt;"",1+MAX($B$22:B73),"")</f>
        <v/>
      </c>
      <c r="C74" s="55"/>
      <c r="D74" s="53" t="s">
        <v>212</v>
      </c>
      <c r="E74" s="25"/>
      <c r="F74" s="41"/>
      <c r="G74" s="19"/>
      <c r="H74" s="19">
        <f t="shared" si="27"/>
        <v>0</v>
      </c>
      <c r="I74" s="19">
        <f t="shared" si="25"/>
        <v>0</v>
      </c>
      <c r="J74" s="17"/>
      <c r="K74" s="12">
        <f t="shared" si="28"/>
        <v>0</v>
      </c>
      <c r="L74" s="12"/>
      <c r="M74" s="19"/>
      <c r="N74" s="19">
        <f t="shared" si="29"/>
        <v>0</v>
      </c>
      <c r="O74" s="19">
        <f t="shared" si="30"/>
        <v>0</v>
      </c>
      <c r="P74" s="19">
        <f t="shared" si="26"/>
        <v>0</v>
      </c>
      <c r="Q74" s="19">
        <f t="shared" si="31"/>
        <v>0</v>
      </c>
      <c r="R74" s="52"/>
    </row>
    <row r="75" spans="2:18" x14ac:dyDescent="0.25">
      <c r="B75" s="51">
        <f>IF(F75&lt;&gt;"",1+MAX($B$22:B74),"")</f>
        <v>24</v>
      </c>
      <c r="C75" s="55" t="s">
        <v>213</v>
      </c>
      <c r="D75" s="10" t="s">
        <v>214</v>
      </c>
      <c r="E75" s="25" t="s">
        <v>82</v>
      </c>
      <c r="F75" s="41">
        <v>377.71</v>
      </c>
      <c r="G75" s="19">
        <v>6.7</v>
      </c>
      <c r="H75" s="19">
        <f t="shared" si="27"/>
        <v>6.8206000000000007</v>
      </c>
      <c r="I75" s="19">
        <f t="shared" si="25"/>
        <v>2576.208826</v>
      </c>
      <c r="J75" s="17">
        <v>0.34200000000000003</v>
      </c>
      <c r="K75" s="12">
        <f t="shared" si="28"/>
        <v>129.17681999999999</v>
      </c>
      <c r="L75" s="97" t="s">
        <v>625</v>
      </c>
      <c r="M75" s="98">
        <v>47.93</v>
      </c>
      <c r="N75" s="19">
        <f t="shared" si="29"/>
        <v>39.877759999999995</v>
      </c>
      <c r="O75" s="19">
        <f t="shared" si="30"/>
        <v>13.638193919999999</v>
      </c>
      <c r="P75" s="19">
        <f t="shared" si="26"/>
        <v>5151.2822255231995</v>
      </c>
      <c r="Q75" s="19">
        <f t="shared" si="31"/>
        <v>7727.4910515231995</v>
      </c>
      <c r="R75" s="52"/>
    </row>
    <row r="76" spans="2:18" x14ac:dyDescent="0.25">
      <c r="B76" s="51" t="str">
        <f>IF(F76&lt;&gt;"",1+MAX($B$22:B75),"")</f>
        <v/>
      </c>
      <c r="C76" s="55"/>
      <c r="D76" s="10"/>
      <c r="E76" s="25"/>
      <c r="F76" s="41"/>
      <c r="G76" s="19"/>
      <c r="H76" s="19">
        <f t="shared" si="27"/>
        <v>0</v>
      </c>
      <c r="I76" s="19">
        <f t="shared" si="25"/>
        <v>0</v>
      </c>
      <c r="J76" s="17"/>
      <c r="K76" s="12">
        <f t="shared" si="28"/>
        <v>0</v>
      </c>
      <c r="L76" s="12"/>
      <c r="M76" s="19"/>
      <c r="N76" s="19">
        <f t="shared" si="29"/>
        <v>0</v>
      </c>
      <c r="O76" s="19">
        <f t="shared" si="30"/>
        <v>0</v>
      </c>
      <c r="P76" s="19">
        <f t="shared" si="26"/>
        <v>0</v>
      </c>
      <c r="Q76" s="19">
        <f t="shared" si="31"/>
        <v>0</v>
      </c>
      <c r="R76" s="52"/>
    </row>
    <row r="77" spans="2:18" x14ac:dyDescent="0.25">
      <c r="B77" s="51" t="str">
        <f>IF(F77&lt;&gt;"",1+MAX($B$22:B76),"")</f>
        <v/>
      </c>
      <c r="C77" s="55"/>
      <c r="D77" s="53" t="s">
        <v>215</v>
      </c>
      <c r="E77" s="25"/>
      <c r="F77" s="41"/>
      <c r="G77" s="19"/>
      <c r="H77" s="19">
        <f t="shared" si="27"/>
        <v>0</v>
      </c>
      <c r="I77" s="19">
        <f t="shared" si="25"/>
        <v>0</v>
      </c>
      <c r="J77" s="17"/>
      <c r="K77" s="12">
        <f t="shared" si="28"/>
        <v>0</v>
      </c>
      <c r="L77" s="12"/>
      <c r="M77" s="19"/>
      <c r="N77" s="19">
        <f t="shared" si="29"/>
        <v>0</v>
      </c>
      <c r="O77" s="19">
        <f t="shared" si="30"/>
        <v>0</v>
      </c>
      <c r="P77" s="19">
        <f t="shared" si="26"/>
        <v>0</v>
      </c>
      <c r="Q77" s="19">
        <f t="shared" si="31"/>
        <v>0</v>
      </c>
      <c r="R77" s="52"/>
    </row>
    <row r="78" spans="2:18" x14ac:dyDescent="0.25">
      <c r="B78" s="51">
        <f>IF(F78&lt;&gt;"",1+MAX($B$22:B77),"")</f>
        <v>25</v>
      </c>
      <c r="C78" s="55" t="s">
        <v>213</v>
      </c>
      <c r="D78" s="10" t="s">
        <v>215</v>
      </c>
      <c r="E78" s="25" t="s">
        <v>86</v>
      </c>
      <c r="F78" s="41">
        <v>26.82</v>
      </c>
      <c r="G78" s="19">
        <v>4.4689000000000005</v>
      </c>
      <c r="H78" s="19">
        <f t="shared" si="27"/>
        <v>4.5493402000000005</v>
      </c>
      <c r="I78" s="19">
        <f t="shared" si="25"/>
        <v>122.01330416400002</v>
      </c>
      <c r="J78" s="17">
        <v>0.22811400000000004</v>
      </c>
      <c r="K78" s="12">
        <f t="shared" si="28"/>
        <v>6.1180174800000007</v>
      </c>
      <c r="L78" s="97" t="s">
        <v>625</v>
      </c>
      <c r="M78" s="98">
        <v>47.93</v>
      </c>
      <c r="N78" s="19">
        <f t="shared" si="29"/>
        <v>39.877759999999995</v>
      </c>
      <c r="O78" s="19">
        <f t="shared" si="30"/>
        <v>9.0966753446400013</v>
      </c>
      <c r="P78" s="19">
        <f t="shared" si="26"/>
        <v>243.97283274324482</v>
      </c>
      <c r="Q78" s="19">
        <f t="shared" si="31"/>
        <v>365.98613690724483</v>
      </c>
      <c r="R78" s="52"/>
    </row>
    <row r="79" spans="2:18" x14ac:dyDescent="0.25">
      <c r="B79" s="51" t="str">
        <f>IF(F79&lt;&gt;"",1+MAX($B$22:B78),"")</f>
        <v/>
      </c>
      <c r="C79" s="55"/>
      <c r="D79" s="10"/>
      <c r="E79" s="25"/>
      <c r="F79" s="41"/>
      <c r="G79" s="19"/>
      <c r="H79" s="19">
        <f t="shared" si="27"/>
        <v>0</v>
      </c>
      <c r="I79" s="19">
        <f t="shared" si="25"/>
        <v>0</v>
      </c>
      <c r="J79" s="17"/>
      <c r="K79" s="12">
        <f t="shared" si="28"/>
        <v>0</v>
      </c>
      <c r="L79" s="12"/>
      <c r="M79" s="19"/>
      <c r="N79" s="19">
        <f t="shared" si="29"/>
        <v>0</v>
      </c>
      <c r="O79" s="19">
        <f t="shared" si="30"/>
        <v>0</v>
      </c>
      <c r="P79" s="19">
        <f t="shared" si="26"/>
        <v>0</v>
      </c>
      <c r="Q79" s="19">
        <f t="shared" si="31"/>
        <v>0</v>
      </c>
      <c r="R79" s="52"/>
    </row>
    <row r="80" spans="2:18" x14ac:dyDescent="0.25">
      <c r="B80" s="51" t="str">
        <f>IF(F80&lt;&gt;"",1+MAX($B$22:B79),"")</f>
        <v/>
      </c>
      <c r="C80" s="55"/>
      <c r="D80" s="53" t="s">
        <v>216</v>
      </c>
      <c r="E80" s="25"/>
      <c r="F80" s="41"/>
      <c r="G80" s="19"/>
      <c r="H80" s="19">
        <f t="shared" si="27"/>
        <v>0</v>
      </c>
      <c r="I80" s="19">
        <f t="shared" si="25"/>
        <v>0</v>
      </c>
      <c r="J80" s="17"/>
      <c r="K80" s="12">
        <f t="shared" si="28"/>
        <v>0</v>
      </c>
      <c r="L80" s="12"/>
      <c r="M80" s="19"/>
      <c r="N80" s="19">
        <f t="shared" si="29"/>
        <v>0</v>
      </c>
      <c r="O80" s="19">
        <f t="shared" si="30"/>
        <v>0</v>
      </c>
      <c r="P80" s="19">
        <f t="shared" si="26"/>
        <v>0</v>
      </c>
      <c r="Q80" s="19">
        <f t="shared" si="31"/>
        <v>0</v>
      </c>
      <c r="R80" s="52"/>
    </row>
    <row r="81" spans="2:19" x14ac:dyDescent="0.25">
      <c r="B81" s="51">
        <f>IF(F81&lt;&gt;"",1+MAX($B$22:B80),"")</f>
        <v>26</v>
      </c>
      <c r="C81" s="55" t="s">
        <v>213</v>
      </c>
      <c r="D81" s="10" t="s">
        <v>217</v>
      </c>
      <c r="E81" s="25" t="s">
        <v>86</v>
      </c>
      <c r="F81" s="41">
        <v>65.69</v>
      </c>
      <c r="G81" s="19">
        <v>3.42</v>
      </c>
      <c r="H81" s="19">
        <f t="shared" si="27"/>
        <v>3.48156</v>
      </c>
      <c r="I81" s="19">
        <f t="shared" si="25"/>
        <v>228.70367639999998</v>
      </c>
      <c r="J81" s="17">
        <v>0.2</v>
      </c>
      <c r="K81" s="12">
        <f t="shared" si="28"/>
        <v>13.138</v>
      </c>
      <c r="L81" s="97" t="s">
        <v>635</v>
      </c>
      <c r="M81" s="98">
        <v>46.9</v>
      </c>
      <c r="N81" s="19">
        <f t="shared" si="29"/>
        <v>39.020799999999994</v>
      </c>
      <c r="O81" s="19">
        <f t="shared" si="30"/>
        <v>7.8041599999999995</v>
      </c>
      <c r="P81" s="19">
        <f t="shared" si="26"/>
        <v>512.65527039999995</v>
      </c>
      <c r="Q81" s="19">
        <f t="shared" si="31"/>
        <v>741.3589467999999</v>
      </c>
      <c r="R81" s="52"/>
    </row>
    <row r="82" spans="2:19" x14ac:dyDescent="0.25">
      <c r="B82" s="51" t="str">
        <f>IF(F82&lt;&gt;"",1+MAX($B$22:B81),"")</f>
        <v/>
      </c>
      <c r="C82" s="55"/>
      <c r="D82" s="10"/>
      <c r="E82" s="25"/>
      <c r="F82" s="41"/>
      <c r="G82" s="19"/>
      <c r="H82" s="19">
        <f t="shared" si="27"/>
        <v>0</v>
      </c>
      <c r="I82" s="19">
        <f t="shared" si="25"/>
        <v>0</v>
      </c>
      <c r="J82" s="17"/>
      <c r="K82" s="12">
        <f t="shared" si="28"/>
        <v>0</v>
      </c>
      <c r="L82" s="12"/>
      <c r="M82" s="19"/>
      <c r="N82" s="19">
        <f t="shared" si="29"/>
        <v>0</v>
      </c>
      <c r="O82" s="19">
        <f t="shared" si="30"/>
        <v>0</v>
      </c>
      <c r="P82" s="19">
        <f t="shared" si="26"/>
        <v>0</v>
      </c>
      <c r="Q82" s="19">
        <f t="shared" si="31"/>
        <v>0</v>
      </c>
      <c r="R82" s="52"/>
    </row>
    <row r="83" spans="2:19" s="14" customFormat="1" ht="12.75" customHeight="1" x14ac:dyDescent="0.25">
      <c r="B83" s="15" t="str">
        <f>IF(F83&lt;&gt;"",1+MAX($B$22:B82),"")</f>
        <v/>
      </c>
      <c r="C83" s="15" t="s">
        <v>48</v>
      </c>
      <c r="D83" s="8" t="s">
        <v>12</v>
      </c>
      <c r="E83" s="130" t="s">
        <v>69</v>
      </c>
      <c r="F83" s="130"/>
      <c r="G83" s="130"/>
      <c r="H83" s="54">
        <f>SUM(I84:I102)</f>
        <v>4858.604494066667</v>
      </c>
      <c r="I83" s="9">
        <f t="shared" ref="I83:I102" si="32">F83*H83</f>
        <v>0</v>
      </c>
      <c r="J83" s="9"/>
      <c r="K83" s="131" t="s">
        <v>70</v>
      </c>
      <c r="L83" s="131"/>
      <c r="M83" s="131"/>
      <c r="N83" s="131"/>
      <c r="O83" s="54">
        <f>SUM(P84:P102)</f>
        <v>2210.6149280938662</v>
      </c>
      <c r="P83" s="9">
        <f t="shared" ref="P83:P102" si="33">F83*O83</f>
        <v>0</v>
      </c>
      <c r="Q83" s="50">
        <f>SUM(Q84:Q102)</f>
        <v>7069.2194221605332</v>
      </c>
      <c r="R83" s="50">
        <f>(Q83)+(H83*$Q$8)+(O83*$Q$9)+(Q83*$Q$10)+($Q$11*((Q83)+(H83*$Q$8)+(O83*$Q$9)+(Q83*$Q$10)))+(Q83*$Q$12)</f>
        <v>9889.5450520651611</v>
      </c>
    </row>
    <row r="84" spans="2:19" x14ac:dyDescent="0.25">
      <c r="B84" s="51" t="str">
        <f>IF(F84&lt;&gt;"",1+MAX($B$22:B83),"")</f>
        <v/>
      </c>
      <c r="C84" s="55"/>
      <c r="D84" s="10"/>
      <c r="E84" s="25"/>
      <c r="F84" s="41"/>
      <c r="G84" s="19"/>
      <c r="H84" s="19">
        <f t="shared" ref="H84:H102" si="34">G84*$T$2</f>
        <v>0</v>
      </c>
      <c r="I84" s="19">
        <f t="shared" si="32"/>
        <v>0</v>
      </c>
      <c r="J84" s="17"/>
      <c r="K84" s="12">
        <f t="shared" ref="K84:K102" si="35">F84*J84</f>
        <v>0</v>
      </c>
      <c r="L84" s="12"/>
      <c r="M84" s="19"/>
      <c r="N84" s="19">
        <f t="shared" ref="N84:N102" si="36">M84*$U$2</f>
        <v>0</v>
      </c>
      <c r="O84" s="19">
        <f t="shared" ref="O84:O102" si="37">J84*N84</f>
        <v>0</v>
      </c>
      <c r="P84" s="19">
        <f t="shared" si="33"/>
        <v>0</v>
      </c>
      <c r="Q84" s="19">
        <f t="shared" ref="Q84:Q102" si="38">I84+P84</f>
        <v>0</v>
      </c>
      <c r="R84" s="52"/>
      <c r="S84" s="14"/>
    </row>
    <row r="85" spans="2:19" x14ac:dyDescent="0.25">
      <c r="B85" s="70" t="str">
        <f>IF(F85&lt;&gt;"",1+MAX($B$22:B84),"")</f>
        <v/>
      </c>
      <c r="C85" s="71"/>
      <c r="D85" s="72" t="s">
        <v>343</v>
      </c>
      <c r="E85" s="25"/>
      <c r="F85" s="41"/>
      <c r="G85" s="19"/>
      <c r="H85" s="19">
        <f t="shared" si="34"/>
        <v>0</v>
      </c>
      <c r="I85" s="19">
        <f t="shared" si="32"/>
        <v>0</v>
      </c>
      <c r="J85" s="17"/>
      <c r="K85" s="12">
        <f t="shared" si="35"/>
        <v>0</v>
      </c>
      <c r="L85" s="12"/>
      <c r="M85" s="19"/>
      <c r="N85" s="19">
        <f t="shared" si="36"/>
        <v>0</v>
      </c>
      <c r="O85" s="19">
        <f t="shared" si="37"/>
        <v>0</v>
      </c>
      <c r="P85" s="19">
        <f t="shared" si="33"/>
        <v>0</v>
      </c>
      <c r="Q85" s="19">
        <f t="shared" si="38"/>
        <v>0</v>
      </c>
      <c r="R85" s="52"/>
    </row>
    <row r="86" spans="2:19" ht="69" x14ac:dyDescent="0.25">
      <c r="B86" s="51">
        <f>IF(F86&lt;&gt;"",1+MAX($B$22:B85),"")</f>
        <v>27</v>
      </c>
      <c r="C86" s="132" t="s">
        <v>344</v>
      </c>
      <c r="D86" s="10" t="s">
        <v>345</v>
      </c>
      <c r="E86" s="25" t="s">
        <v>346</v>
      </c>
      <c r="F86" s="41">
        <f>4</f>
        <v>4</v>
      </c>
      <c r="G86" s="19">
        <v>414.16666666666663</v>
      </c>
      <c r="H86" s="19">
        <f t="shared" si="34"/>
        <v>421.62166666666661</v>
      </c>
      <c r="I86" s="19">
        <f t="shared" si="32"/>
        <v>1686.4866666666665</v>
      </c>
      <c r="J86" s="17">
        <v>1.9366666666666668</v>
      </c>
      <c r="K86" s="12">
        <f t="shared" si="35"/>
        <v>7.746666666666667</v>
      </c>
      <c r="L86" s="97" t="s">
        <v>636</v>
      </c>
      <c r="M86" s="98">
        <v>62.74</v>
      </c>
      <c r="N86" s="19">
        <f t="shared" si="36"/>
        <v>52.199680000000001</v>
      </c>
      <c r="O86" s="19">
        <f t="shared" si="37"/>
        <v>101.09338026666667</v>
      </c>
      <c r="P86" s="19">
        <f t="shared" si="33"/>
        <v>404.37352106666668</v>
      </c>
      <c r="Q86" s="19">
        <f t="shared" si="38"/>
        <v>2090.8601877333331</v>
      </c>
      <c r="R86" s="52"/>
    </row>
    <row r="87" spans="2:19" x14ac:dyDescent="0.25">
      <c r="B87" s="51">
        <f>IF(F87&lt;&gt;"",1+MAX($B$22:B86),"")</f>
        <v>28</v>
      </c>
      <c r="C87" s="132"/>
      <c r="D87" s="10" t="s">
        <v>347</v>
      </c>
      <c r="E87" s="25" t="s">
        <v>82</v>
      </c>
      <c r="F87" s="41">
        <f>9.07</f>
        <v>9.07</v>
      </c>
      <c r="G87" s="19">
        <v>3.52</v>
      </c>
      <c r="H87" s="19">
        <f t="shared" si="34"/>
        <v>3.5833599999999999</v>
      </c>
      <c r="I87" s="19">
        <f t="shared" si="32"/>
        <v>32.501075200000002</v>
      </c>
      <c r="J87" s="17">
        <v>3.2000000000000001E-2</v>
      </c>
      <c r="K87" s="12">
        <f t="shared" si="35"/>
        <v>0.29024</v>
      </c>
      <c r="L87" s="97" t="s">
        <v>636</v>
      </c>
      <c r="M87" s="98">
        <v>62.74</v>
      </c>
      <c r="N87" s="19">
        <f t="shared" si="36"/>
        <v>52.199680000000001</v>
      </c>
      <c r="O87" s="19">
        <f t="shared" si="37"/>
        <v>1.6703897600000002</v>
      </c>
      <c r="P87" s="19">
        <f t="shared" si="33"/>
        <v>15.150435123200001</v>
      </c>
      <c r="Q87" s="19">
        <f t="shared" si="38"/>
        <v>47.6515103232</v>
      </c>
      <c r="R87" s="52"/>
    </row>
    <row r="88" spans="2:19" ht="55.2" x14ac:dyDescent="0.25">
      <c r="B88" s="51">
        <f>IF(F88&lt;&gt;"",1+MAX($B$22:B87),"")</f>
        <v>29</v>
      </c>
      <c r="C88" s="132"/>
      <c r="D88" s="10" t="s">
        <v>348</v>
      </c>
      <c r="E88" s="25" t="s">
        <v>86</v>
      </c>
      <c r="F88" s="41">
        <f>13.4</f>
        <v>13.4</v>
      </c>
      <c r="G88" s="19">
        <v>41.5</v>
      </c>
      <c r="H88" s="19">
        <f t="shared" si="34"/>
        <v>42.247</v>
      </c>
      <c r="I88" s="19">
        <f t="shared" si="32"/>
        <v>566.10980000000006</v>
      </c>
      <c r="J88" s="17">
        <v>0.217</v>
      </c>
      <c r="K88" s="12">
        <f t="shared" si="35"/>
        <v>2.9077999999999999</v>
      </c>
      <c r="L88" s="97" t="s">
        <v>636</v>
      </c>
      <c r="M88" s="98">
        <v>62.74</v>
      </c>
      <c r="N88" s="19">
        <f t="shared" si="36"/>
        <v>52.199680000000001</v>
      </c>
      <c r="O88" s="19">
        <f t="shared" si="37"/>
        <v>11.32733056</v>
      </c>
      <c r="P88" s="19">
        <f t="shared" si="33"/>
        <v>151.786229504</v>
      </c>
      <c r="Q88" s="19">
        <f t="shared" si="38"/>
        <v>717.89602950400013</v>
      </c>
      <c r="R88" s="52"/>
    </row>
    <row r="89" spans="2:19" x14ac:dyDescent="0.25">
      <c r="B89" s="51">
        <f>IF(F89&lt;&gt;"",1+MAX($B$22:B88),"")</f>
        <v>30</v>
      </c>
      <c r="C89" s="132"/>
      <c r="D89" s="10" t="s">
        <v>349</v>
      </c>
      <c r="E89" s="25" t="s">
        <v>86</v>
      </c>
      <c r="F89" s="41">
        <f>8.7</f>
        <v>8.6999999999999993</v>
      </c>
      <c r="G89" s="19">
        <v>6.69</v>
      </c>
      <c r="H89" s="19">
        <f t="shared" si="34"/>
        <v>6.8104200000000006</v>
      </c>
      <c r="I89" s="19">
        <f t="shared" si="32"/>
        <v>59.250653999999997</v>
      </c>
      <c r="J89" s="17">
        <v>0.66930723827275562</v>
      </c>
      <c r="K89" s="12">
        <f t="shared" si="35"/>
        <v>5.8229729729729733</v>
      </c>
      <c r="L89" s="97" t="s">
        <v>637</v>
      </c>
      <c r="M89" s="98">
        <v>64.38</v>
      </c>
      <c r="N89" s="19">
        <f t="shared" si="36"/>
        <v>53.564159999999994</v>
      </c>
      <c r="O89" s="19">
        <f t="shared" si="37"/>
        <v>35.850880000000004</v>
      </c>
      <c r="P89" s="19">
        <f t="shared" si="33"/>
        <v>311.90265599999998</v>
      </c>
      <c r="Q89" s="19">
        <f t="shared" si="38"/>
        <v>371.15330999999998</v>
      </c>
      <c r="R89" s="52"/>
    </row>
    <row r="90" spans="2:19" x14ac:dyDescent="0.25">
      <c r="B90" s="51" t="str">
        <f>IF(F90&lt;&gt;"",1+MAX($B$22:B89),"")</f>
        <v/>
      </c>
      <c r="C90" s="55"/>
      <c r="D90" s="10"/>
      <c r="E90" s="25"/>
      <c r="F90" s="41"/>
      <c r="G90" s="19"/>
      <c r="H90" s="19">
        <f t="shared" si="34"/>
        <v>0</v>
      </c>
      <c r="I90" s="19">
        <f t="shared" si="32"/>
        <v>0</v>
      </c>
      <c r="J90" s="17"/>
      <c r="K90" s="12">
        <f t="shared" si="35"/>
        <v>0</v>
      </c>
      <c r="L90" s="12"/>
      <c r="M90" s="19"/>
      <c r="N90" s="19">
        <f t="shared" si="36"/>
        <v>0</v>
      </c>
      <c r="O90" s="19">
        <f t="shared" si="37"/>
        <v>0</v>
      </c>
      <c r="P90" s="19">
        <f t="shared" si="33"/>
        <v>0</v>
      </c>
      <c r="Q90" s="19">
        <f t="shared" si="38"/>
        <v>0</v>
      </c>
      <c r="R90" s="52"/>
    </row>
    <row r="91" spans="2:19" x14ac:dyDescent="0.25">
      <c r="B91" s="70" t="str">
        <f>IF(F91&lt;&gt;"",1+MAX($B$22:B90),"")</f>
        <v/>
      </c>
      <c r="C91" s="71"/>
      <c r="D91" s="72" t="s">
        <v>189</v>
      </c>
      <c r="E91" s="25"/>
      <c r="F91" s="41"/>
      <c r="G91" s="19"/>
      <c r="H91" s="19">
        <f t="shared" si="34"/>
        <v>0</v>
      </c>
      <c r="I91" s="19">
        <f t="shared" si="32"/>
        <v>0</v>
      </c>
      <c r="J91" s="17"/>
      <c r="K91" s="12">
        <f t="shared" si="35"/>
        <v>0</v>
      </c>
      <c r="L91" s="12"/>
      <c r="M91" s="19"/>
      <c r="N91" s="19">
        <f t="shared" si="36"/>
        <v>0</v>
      </c>
      <c r="O91" s="19">
        <f t="shared" si="37"/>
        <v>0</v>
      </c>
      <c r="P91" s="19">
        <f t="shared" si="33"/>
        <v>0</v>
      </c>
      <c r="Q91" s="19">
        <f t="shared" si="38"/>
        <v>0</v>
      </c>
      <c r="R91" s="52"/>
    </row>
    <row r="92" spans="2:19" x14ac:dyDescent="0.25">
      <c r="B92" s="51">
        <f>IF(F92&lt;&gt;"",1+MAX($B$22:B91),"")</f>
        <v>31</v>
      </c>
      <c r="C92" s="132" t="s">
        <v>199</v>
      </c>
      <c r="D92" s="10" t="s">
        <v>190</v>
      </c>
      <c r="E92" s="25" t="s">
        <v>86</v>
      </c>
      <c r="F92" s="41">
        <v>12.12</v>
      </c>
      <c r="G92" s="19">
        <v>5.0199999999999996</v>
      </c>
      <c r="H92" s="19">
        <f t="shared" si="34"/>
        <v>5.11036</v>
      </c>
      <c r="I92" s="19">
        <f t="shared" si="32"/>
        <v>61.9375632</v>
      </c>
      <c r="J92" s="17">
        <v>0.36905871388630007</v>
      </c>
      <c r="K92" s="12">
        <f t="shared" si="35"/>
        <v>4.4729916123019562</v>
      </c>
      <c r="L92" s="97" t="s">
        <v>637</v>
      </c>
      <c r="M92" s="98">
        <v>64.38</v>
      </c>
      <c r="N92" s="19">
        <f t="shared" si="36"/>
        <v>53.564159999999994</v>
      </c>
      <c r="O92" s="19">
        <f t="shared" si="37"/>
        <v>19.768319999999996</v>
      </c>
      <c r="P92" s="19">
        <f t="shared" si="33"/>
        <v>239.59203839999992</v>
      </c>
      <c r="Q92" s="19">
        <f t="shared" si="38"/>
        <v>301.52960159999992</v>
      </c>
      <c r="R92" s="52"/>
    </row>
    <row r="93" spans="2:19" x14ac:dyDescent="0.25">
      <c r="B93" s="51">
        <f>IF(F93&lt;&gt;"",1+MAX($B$22:B92),"")</f>
        <v>32</v>
      </c>
      <c r="C93" s="132"/>
      <c r="D93" s="10" t="s">
        <v>191</v>
      </c>
      <c r="E93" s="25" t="s">
        <v>86</v>
      </c>
      <c r="F93" s="41">
        <v>18.260000000000002</v>
      </c>
      <c r="G93" s="19">
        <v>37.9</v>
      </c>
      <c r="H93" s="19">
        <f t="shared" si="34"/>
        <v>38.5822</v>
      </c>
      <c r="I93" s="19">
        <f t="shared" si="32"/>
        <v>704.51097200000004</v>
      </c>
      <c r="J93" s="17">
        <v>0.18712112547180601</v>
      </c>
      <c r="K93" s="12">
        <f t="shared" si="35"/>
        <v>3.4168317511151782</v>
      </c>
      <c r="L93" s="97" t="s">
        <v>638</v>
      </c>
      <c r="M93" s="98">
        <v>87.43</v>
      </c>
      <c r="N93" s="19">
        <f t="shared" si="36"/>
        <v>72.741759999999999</v>
      </c>
      <c r="O93" s="19">
        <f t="shared" si="37"/>
        <v>13.611519999999999</v>
      </c>
      <c r="P93" s="19">
        <f t="shared" si="33"/>
        <v>248.54635519999999</v>
      </c>
      <c r="Q93" s="19">
        <f t="shared" si="38"/>
        <v>953.05732720000003</v>
      </c>
      <c r="R93" s="52"/>
    </row>
    <row r="94" spans="2:19" x14ac:dyDescent="0.25">
      <c r="B94" s="51">
        <f>IF(F94&lt;&gt;"",1+MAX($B$22:B93),"")</f>
        <v>33</v>
      </c>
      <c r="C94" s="132"/>
      <c r="D94" s="10" t="s">
        <v>192</v>
      </c>
      <c r="E94" s="25" t="s">
        <v>86</v>
      </c>
      <c r="F94" s="41">
        <v>29.26</v>
      </c>
      <c r="G94" s="19">
        <v>15.8</v>
      </c>
      <c r="H94" s="19">
        <f t="shared" si="34"/>
        <v>16.084400000000002</v>
      </c>
      <c r="I94" s="19">
        <f t="shared" si="32"/>
        <v>470.62954400000007</v>
      </c>
      <c r="J94" s="17">
        <v>9.3560562735902991E-2</v>
      </c>
      <c r="K94" s="12">
        <f t="shared" si="35"/>
        <v>2.7375820656525218</v>
      </c>
      <c r="L94" s="97" t="s">
        <v>638</v>
      </c>
      <c r="M94" s="98">
        <v>87.43</v>
      </c>
      <c r="N94" s="19">
        <f t="shared" si="36"/>
        <v>72.741759999999999</v>
      </c>
      <c r="O94" s="19">
        <f t="shared" si="37"/>
        <v>6.8057599999999985</v>
      </c>
      <c r="P94" s="19">
        <f t="shared" si="33"/>
        <v>199.13653759999997</v>
      </c>
      <c r="Q94" s="19">
        <f t="shared" si="38"/>
        <v>669.76608160000001</v>
      </c>
      <c r="R94" s="52"/>
    </row>
    <row r="95" spans="2:19" x14ac:dyDescent="0.25">
      <c r="B95" s="51" t="str">
        <f>IF(F95&lt;&gt;"",1+MAX($B$22:B94),"")</f>
        <v/>
      </c>
      <c r="C95" s="55"/>
      <c r="D95" s="10"/>
      <c r="E95" s="25"/>
      <c r="F95" s="41"/>
      <c r="G95" s="19"/>
      <c r="H95" s="19">
        <f t="shared" si="34"/>
        <v>0</v>
      </c>
      <c r="I95" s="19">
        <f t="shared" si="32"/>
        <v>0</v>
      </c>
      <c r="J95" s="17"/>
      <c r="K95" s="12">
        <f t="shared" si="35"/>
        <v>0</v>
      </c>
      <c r="L95" s="12"/>
      <c r="M95" s="19"/>
      <c r="N95" s="19">
        <f t="shared" si="36"/>
        <v>0</v>
      </c>
      <c r="O95" s="19">
        <f t="shared" si="37"/>
        <v>0</v>
      </c>
      <c r="P95" s="19">
        <f t="shared" si="33"/>
        <v>0</v>
      </c>
      <c r="Q95" s="19">
        <f t="shared" si="38"/>
        <v>0</v>
      </c>
      <c r="R95" s="52"/>
    </row>
    <row r="96" spans="2:19" x14ac:dyDescent="0.25">
      <c r="B96" s="70" t="str">
        <f>IF(F96&lt;&gt;"",1+MAX($B$22:B95),"")</f>
        <v/>
      </c>
      <c r="C96" s="71"/>
      <c r="D96" s="72" t="s">
        <v>193</v>
      </c>
      <c r="E96" s="25"/>
      <c r="F96" s="41"/>
      <c r="G96" s="19"/>
      <c r="H96" s="19">
        <f t="shared" si="34"/>
        <v>0</v>
      </c>
      <c r="I96" s="19">
        <f t="shared" si="32"/>
        <v>0</v>
      </c>
      <c r="J96" s="17"/>
      <c r="K96" s="12">
        <f t="shared" si="35"/>
        <v>0</v>
      </c>
      <c r="L96" s="12"/>
      <c r="M96" s="19"/>
      <c r="N96" s="19">
        <f t="shared" si="36"/>
        <v>0</v>
      </c>
      <c r="O96" s="19">
        <f t="shared" si="37"/>
        <v>0</v>
      </c>
      <c r="P96" s="19">
        <f t="shared" si="33"/>
        <v>0</v>
      </c>
      <c r="Q96" s="19">
        <f t="shared" si="38"/>
        <v>0</v>
      </c>
      <c r="R96" s="52"/>
    </row>
    <row r="97" spans="2:19" ht="27.6" x14ac:dyDescent="0.25">
      <c r="B97" s="51">
        <f>IF(F97&lt;&gt;"",1+MAX($B$22:B96),"")</f>
        <v>34</v>
      </c>
      <c r="C97" s="132" t="s">
        <v>199</v>
      </c>
      <c r="D97" s="10" t="s">
        <v>195</v>
      </c>
      <c r="E97" s="25" t="s">
        <v>86</v>
      </c>
      <c r="F97" s="41">
        <f>4*3</f>
        <v>12</v>
      </c>
      <c r="G97" s="19">
        <v>5.0199999999999996</v>
      </c>
      <c r="H97" s="19">
        <f t="shared" si="34"/>
        <v>5.11036</v>
      </c>
      <c r="I97" s="19">
        <f t="shared" ref="I97:I98" si="39">F97*H97</f>
        <v>61.32432</v>
      </c>
      <c r="J97" s="17">
        <v>0.36905871388630007</v>
      </c>
      <c r="K97" s="12">
        <f t="shared" ref="K97:K98" si="40">F97*J97</f>
        <v>4.4287045666356004</v>
      </c>
      <c r="L97" s="97" t="s">
        <v>637</v>
      </c>
      <c r="M97" s="98">
        <v>64.38</v>
      </c>
      <c r="N97" s="19">
        <f t="shared" si="36"/>
        <v>53.564159999999994</v>
      </c>
      <c r="O97" s="19">
        <f t="shared" ref="O97" si="41">J97*N97</f>
        <v>19.768319999999996</v>
      </c>
      <c r="P97" s="19">
        <f t="shared" si="33"/>
        <v>237.21983999999995</v>
      </c>
      <c r="Q97" s="19">
        <f t="shared" si="38"/>
        <v>298.54415999999992</v>
      </c>
      <c r="R97" s="52"/>
    </row>
    <row r="98" spans="2:19" ht="41.4" x14ac:dyDescent="0.25">
      <c r="B98" s="51">
        <f>IF(F98&lt;&gt;"",1+MAX($B$22:B97),"")</f>
        <v>35</v>
      </c>
      <c r="C98" s="132"/>
      <c r="D98" s="10" t="s">
        <v>196</v>
      </c>
      <c r="E98" s="25" t="s">
        <v>86</v>
      </c>
      <c r="F98" s="41">
        <f>3*8.33+3*8.5</f>
        <v>50.49</v>
      </c>
      <c r="G98" s="19">
        <v>18.95</v>
      </c>
      <c r="H98" s="19">
        <f t="shared" si="34"/>
        <v>19.2911</v>
      </c>
      <c r="I98" s="19">
        <f t="shared" si="39"/>
        <v>974.00763900000004</v>
      </c>
      <c r="J98" s="17">
        <v>9.3560562735902991E-2</v>
      </c>
      <c r="K98" s="12">
        <f t="shared" si="40"/>
        <v>4.7238728125357419</v>
      </c>
      <c r="L98" s="97" t="s">
        <v>638</v>
      </c>
      <c r="M98" s="98">
        <v>87.43</v>
      </c>
      <c r="N98" s="19">
        <f t="shared" si="36"/>
        <v>72.741759999999999</v>
      </c>
      <c r="O98" s="19">
        <f t="shared" si="37"/>
        <v>6.8057599999999985</v>
      </c>
      <c r="P98" s="19">
        <f t="shared" si="33"/>
        <v>343.62282239999996</v>
      </c>
      <c r="Q98" s="19">
        <f t="shared" si="38"/>
        <v>1317.6304614000001</v>
      </c>
      <c r="R98" s="52"/>
    </row>
    <row r="99" spans="2:19" x14ac:dyDescent="0.25">
      <c r="B99" s="51" t="str">
        <f>IF(F99&lt;&gt;"",1+MAX($B$22:B98),"")</f>
        <v/>
      </c>
      <c r="C99" s="132"/>
      <c r="D99" s="10"/>
      <c r="E99" s="25"/>
      <c r="F99" s="41"/>
      <c r="G99" s="19"/>
      <c r="H99" s="19">
        <f t="shared" si="34"/>
        <v>0</v>
      </c>
      <c r="I99" s="19">
        <f t="shared" si="32"/>
        <v>0</v>
      </c>
      <c r="J99" s="17"/>
      <c r="K99" s="12">
        <f t="shared" si="35"/>
        <v>0</v>
      </c>
      <c r="L99" s="12"/>
      <c r="M99" s="19"/>
      <c r="N99" s="19">
        <f t="shared" si="36"/>
        <v>0</v>
      </c>
      <c r="O99" s="19">
        <f t="shared" si="37"/>
        <v>0</v>
      </c>
      <c r="P99" s="19">
        <f t="shared" si="33"/>
        <v>0</v>
      </c>
      <c r="Q99" s="19">
        <f t="shared" si="38"/>
        <v>0</v>
      </c>
      <c r="R99" s="52"/>
    </row>
    <row r="100" spans="2:19" x14ac:dyDescent="0.25">
      <c r="B100" s="51" t="str">
        <f>IF(F100&lt;&gt;"",1+MAX($B$22:B99),"")</f>
        <v/>
      </c>
      <c r="C100" s="132"/>
      <c r="D100" s="53" t="s">
        <v>197</v>
      </c>
      <c r="E100" s="25"/>
      <c r="F100" s="41"/>
      <c r="G100" s="19"/>
      <c r="H100" s="19">
        <f t="shared" si="34"/>
        <v>0</v>
      </c>
      <c r="I100" s="19">
        <f t="shared" si="32"/>
        <v>0</v>
      </c>
      <c r="J100" s="17"/>
      <c r="K100" s="12">
        <f t="shared" si="35"/>
        <v>0</v>
      </c>
      <c r="L100" s="12"/>
      <c r="M100" s="19"/>
      <c r="N100" s="19">
        <f t="shared" si="36"/>
        <v>0</v>
      </c>
      <c r="O100" s="19">
        <f t="shared" si="37"/>
        <v>0</v>
      </c>
      <c r="P100" s="19">
        <f t="shared" si="33"/>
        <v>0</v>
      </c>
      <c r="Q100" s="19">
        <f t="shared" si="38"/>
        <v>0</v>
      </c>
      <c r="R100" s="52"/>
    </row>
    <row r="101" spans="2:19" x14ac:dyDescent="0.25">
      <c r="B101" s="51">
        <f>IF(F101&lt;&gt;"",1+MAX($B$22:B100),"")</f>
        <v>36</v>
      </c>
      <c r="C101" s="132"/>
      <c r="D101" s="10" t="s">
        <v>194</v>
      </c>
      <c r="E101" s="25" t="s">
        <v>90</v>
      </c>
      <c r="F101" s="41">
        <v>3</v>
      </c>
      <c r="G101" s="19">
        <v>79.19</v>
      </c>
      <c r="H101" s="19">
        <f t="shared" si="34"/>
        <v>80.61542</v>
      </c>
      <c r="I101" s="19">
        <f t="shared" si="32"/>
        <v>241.84626</v>
      </c>
      <c r="J101" s="17">
        <v>0.41199999999999998</v>
      </c>
      <c r="K101" s="12">
        <f t="shared" si="35"/>
        <v>1.236</v>
      </c>
      <c r="L101" s="97" t="s">
        <v>639</v>
      </c>
      <c r="M101" s="98">
        <v>57.65</v>
      </c>
      <c r="N101" s="19">
        <f t="shared" si="36"/>
        <v>47.964799999999997</v>
      </c>
      <c r="O101" s="19">
        <f t="shared" si="37"/>
        <v>19.761497599999998</v>
      </c>
      <c r="P101" s="19">
        <f t="shared" si="33"/>
        <v>59.284492799999995</v>
      </c>
      <c r="Q101" s="19">
        <f t="shared" si="38"/>
        <v>301.13075279999998</v>
      </c>
      <c r="R101" s="52"/>
    </row>
    <row r="102" spans="2:19" x14ac:dyDescent="0.25">
      <c r="B102" s="51" t="str">
        <f>IF(F102&lt;&gt;"",1+MAX($B$22:B101),"")</f>
        <v/>
      </c>
      <c r="C102" s="55"/>
      <c r="D102" s="10"/>
      <c r="E102" s="25"/>
      <c r="F102" s="41"/>
      <c r="G102" s="19"/>
      <c r="H102" s="19">
        <f t="shared" si="34"/>
        <v>0</v>
      </c>
      <c r="I102" s="19">
        <f t="shared" si="32"/>
        <v>0</v>
      </c>
      <c r="J102" s="17"/>
      <c r="K102" s="12">
        <f t="shared" si="35"/>
        <v>0</v>
      </c>
      <c r="L102" s="12"/>
      <c r="M102" s="19"/>
      <c r="N102" s="19">
        <f t="shared" si="36"/>
        <v>0</v>
      </c>
      <c r="O102" s="19">
        <f t="shared" si="37"/>
        <v>0</v>
      </c>
      <c r="P102" s="19">
        <f t="shared" si="33"/>
        <v>0</v>
      </c>
      <c r="Q102" s="19">
        <f t="shared" si="38"/>
        <v>0</v>
      </c>
      <c r="R102" s="52"/>
    </row>
    <row r="103" spans="2:19" s="14" customFormat="1" ht="12.75" customHeight="1" x14ac:dyDescent="0.25">
      <c r="B103" s="15" t="str">
        <f>IF(F103&lt;&gt;"",1+MAX($B$22:B102),"")</f>
        <v/>
      </c>
      <c r="C103" s="15" t="s">
        <v>49</v>
      </c>
      <c r="D103" s="8" t="s">
        <v>13</v>
      </c>
      <c r="E103" s="130" t="s">
        <v>69</v>
      </c>
      <c r="F103" s="130"/>
      <c r="G103" s="130"/>
      <c r="H103" s="54">
        <f>SUM(I104:I240)</f>
        <v>83961.011385608246</v>
      </c>
      <c r="I103" s="9">
        <f t="shared" ref="I103:I147" si="42">F103*H103</f>
        <v>0</v>
      </c>
      <c r="J103" s="9"/>
      <c r="K103" s="131" t="s">
        <v>70</v>
      </c>
      <c r="L103" s="131"/>
      <c r="M103" s="131"/>
      <c r="N103" s="131"/>
      <c r="O103" s="54">
        <f>SUM(P104:P240)</f>
        <v>34121.245443165652</v>
      </c>
      <c r="P103" s="9">
        <f t="shared" ref="P103:P147" si="43">F103*O103</f>
        <v>0</v>
      </c>
      <c r="Q103" s="50">
        <f>SUM(Q104:Q240)</f>
        <v>118082.25682877391</v>
      </c>
      <c r="R103" s="50">
        <f>(Q103)+(H103*$Q$8)+(O103*$Q$9)+(Q103*$Q$10)+($Q$11*((Q103)+(H103*$Q$8)+(O103*$Q$9)+(Q103*$Q$10)))+(Q103*$Q$12)</f>
        <v>165077.77123012758</v>
      </c>
    </row>
    <row r="104" spans="2:19" x14ac:dyDescent="0.25">
      <c r="B104" s="51" t="str">
        <f>IF(F104&lt;&gt;"",1+MAX($B$22:B103),"")</f>
        <v/>
      </c>
      <c r="C104" s="55"/>
      <c r="D104" s="10"/>
      <c r="E104" s="25"/>
      <c r="F104" s="41"/>
      <c r="G104" s="19"/>
      <c r="H104" s="19">
        <f t="shared" ref="H104:H167" si="44">G104*$T$2</f>
        <v>0</v>
      </c>
      <c r="I104" s="19">
        <f t="shared" si="42"/>
        <v>0</v>
      </c>
      <c r="J104" s="17"/>
      <c r="K104" s="12">
        <f t="shared" ref="K104:K167" si="45">F104*J104</f>
        <v>0</v>
      </c>
      <c r="L104" s="12"/>
      <c r="M104" s="19"/>
      <c r="N104" s="19">
        <f t="shared" ref="N104:N167" si="46">M104*$U$2</f>
        <v>0</v>
      </c>
      <c r="O104" s="19">
        <f t="shared" ref="O104:O167" si="47">J104*N104</f>
        <v>0</v>
      </c>
      <c r="P104" s="19">
        <f t="shared" si="43"/>
        <v>0</v>
      </c>
      <c r="Q104" s="19">
        <f t="shared" ref="Q104:Q167" si="48">I104+P104</f>
        <v>0</v>
      </c>
      <c r="R104" s="52"/>
      <c r="S104" s="14"/>
    </row>
    <row r="105" spans="2:19" x14ac:dyDescent="0.25">
      <c r="B105" s="70" t="str">
        <f>IF(F105&lt;&gt;"",1+MAX($B$22:B104),"")</f>
        <v/>
      </c>
      <c r="C105" s="71"/>
      <c r="D105" s="72" t="s">
        <v>218</v>
      </c>
      <c r="E105" s="25"/>
      <c r="F105" s="41"/>
      <c r="G105" s="19"/>
      <c r="H105" s="19">
        <f t="shared" si="44"/>
        <v>0</v>
      </c>
      <c r="I105" s="19">
        <f t="shared" si="42"/>
        <v>0</v>
      </c>
      <c r="J105" s="17"/>
      <c r="K105" s="12">
        <f t="shared" si="45"/>
        <v>0</v>
      </c>
      <c r="L105" s="12"/>
      <c r="M105" s="19"/>
      <c r="N105" s="19">
        <f t="shared" si="46"/>
        <v>0</v>
      </c>
      <c r="O105" s="19">
        <f t="shared" si="47"/>
        <v>0</v>
      </c>
      <c r="P105" s="19">
        <f t="shared" si="43"/>
        <v>0</v>
      </c>
      <c r="Q105" s="19">
        <f t="shared" si="48"/>
        <v>0</v>
      </c>
      <c r="R105" s="52"/>
    </row>
    <row r="106" spans="2:19" x14ac:dyDescent="0.25">
      <c r="B106" s="51" t="str">
        <f>IF(F106&lt;&gt;"",1+MAX($B$22:B105),"")</f>
        <v/>
      </c>
      <c r="C106" s="55"/>
      <c r="D106" s="53"/>
      <c r="E106" s="25"/>
      <c r="F106" s="41"/>
      <c r="G106" s="19"/>
      <c r="H106" s="19">
        <f t="shared" si="44"/>
        <v>0</v>
      </c>
      <c r="I106" s="19">
        <f t="shared" si="42"/>
        <v>0</v>
      </c>
      <c r="J106" s="17"/>
      <c r="K106" s="12">
        <f t="shared" si="45"/>
        <v>0</v>
      </c>
      <c r="L106" s="12"/>
      <c r="M106" s="19"/>
      <c r="N106" s="19">
        <f t="shared" si="46"/>
        <v>0</v>
      </c>
      <c r="O106" s="19">
        <f t="shared" si="47"/>
        <v>0</v>
      </c>
      <c r="P106" s="19">
        <f t="shared" si="43"/>
        <v>0</v>
      </c>
      <c r="Q106" s="19">
        <f t="shared" si="48"/>
        <v>0</v>
      </c>
      <c r="R106" s="52"/>
    </row>
    <row r="107" spans="2:19" x14ac:dyDescent="0.25">
      <c r="B107" s="51" t="str">
        <f>IF(F107&lt;&gt;"",1+MAX($B$22:B106),"")</f>
        <v/>
      </c>
      <c r="C107" s="55"/>
      <c r="D107" s="53" t="s">
        <v>87</v>
      </c>
      <c r="E107" s="25"/>
      <c r="F107" s="41"/>
      <c r="G107" s="19"/>
      <c r="H107" s="19">
        <f t="shared" si="44"/>
        <v>0</v>
      </c>
      <c r="I107" s="19">
        <f t="shared" si="42"/>
        <v>0</v>
      </c>
      <c r="J107" s="17"/>
      <c r="K107" s="12">
        <f t="shared" si="45"/>
        <v>0</v>
      </c>
      <c r="L107" s="12"/>
      <c r="M107" s="19"/>
      <c r="N107" s="19">
        <f t="shared" si="46"/>
        <v>0</v>
      </c>
      <c r="O107" s="19">
        <f t="shared" si="47"/>
        <v>0</v>
      </c>
      <c r="P107" s="19">
        <f t="shared" si="43"/>
        <v>0</v>
      </c>
      <c r="Q107" s="19">
        <f t="shared" si="48"/>
        <v>0</v>
      </c>
      <c r="R107" s="52"/>
    </row>
    <row r="108" spans="2:19" ht="69" x14ac:dyDescent="0.25">
      <c r="B108" s="51">
        <f>IF(F108&lt;&gt;"",1+MAX($B$22:B107),"")</f>
        <v>37</v>
      </c>
      <c r="C108" s="55" t="s">
        <v>219</v>
      </c>
      <c r="D108" s="10" t="s">
        <v>220</v>
      </c>
      <c r="E108" s="25" t="s">
        <v>82</v>
      </c>
      <c r="F108" s="41">
        <v>3540</v>
      </c>
      <c r="G108" s="19">
        <v>0.66</v>
      </c>
      <c r="H108" s="19">
        <f t="shared" si="44"/>
        <v>0.67188000000000003</v>
      </c>
      <c r="I108" s="19">
        <f t="shared" si="42"/>
        <v>2378.4552000000003</v>
      </c>
      <c r="J108" s="17">
        <v>2.4E-2</v>
      </c>
      <c r="K108" s="12">
        <f t="shared" si="45"/>
        <v>84.960000000000008</v>
      </c>
      <c r="L108" s="97" t="s">
        <v>632</v>
      </c>
      <c r="M108" s="98">
        <v>53.15</v>
      </c>
      <c r="N108" s="19">
        <f t="shared" si="46"/>
        <v>44.220799999999997</v>
      </c>
      <c r="O108" s="19">
        <f t="shared" si="47"/>
        <v>1.0612991999999999</v>
      </c>
      <c r="P108" s="19">
        <f t="shared" si="43"/>
        <v>3756.9991679999998</v>
      </c>
      <c r="Q108" s="19">
        <f t="shared" si="48"/>
        <v>6135.4543680000006</v>
      </c>
      <c r="R108" s="52"/>
    </row>
    <row r="109" spans="2:19" x14ac:dyDescent="0.25">
      <c r="B109" s="51" t="str">
        <f>IF(F109&lt;&gt;"",1+MAX($B$22:B108),"")</f>
        <v/>
      </c>
      <c r="C109" s="55"/>
      <c r="D109" s="10"/>
      <c r="E109" s="25"/>
      <c r="F109" s="41"/>
      <c r="G109" s="19"/>
      <c r="H109" s="19">
        <f t="shared" si="44"/>
        <v>0</v>
      </c>
      <c r="I109" s="19">
        <f t="shared" si="42"/>
        <v>0</v>
      </c>
      <c r="J109" s="17"/>
      <c r="K109" s="12">
        <f t="shared" si="45"/>
        <v>0</v>
      </c>
      <c r="L109" s="12"/>
      <c r="M109" s="19"/>
      <c r="N109" s="19">
        <f t="shared" si="46"/>
        <v>0</v>
      </c>
      <c r="O109" s="19">
        <f t="shared" si="47"/>
        <v>0</v>
      </c>
      <c r="P109" s="19">
        <f t="shared" si="43"/>
        <v>0</v>
      </c>
      <c r="Q109" s="19">
        <f t="shared" si="48"/>
        <v>0</v>
      </c>
      <c r="R109" s="52"/>
    </row>
    <row r="110" spans="2:19" x14ac:dyDescent="0.25">
      <c r="B110" s="51" t="str">
        <f>IF(F110&lt;&gt;"",1+MAX($B$22:B109),"")</f>
        <v/>
      </c>
      <c r="C110" s="55"/>
      <c r="D110" s="53" t="s">
        <v>221</v>
      </c>
      <c r="E110" s="25"/>
      <c r="F110" s="41"/>
      <c r="G110" s="19"/>
      <c r="H110" s="19">
        <f t="shared" si="44"/>
        <v>0</v>
      </c>
      <c r="I110" s="19">
        <f t="shared" si="42"/>
        <v>0</v>
      </c>
      <c r="J110" s="17"/>
      <c r="K110" s="12">
        <f t="shared" si="45"/>
        <v>0</v>
      </c>
      <c r="L110" s="12"/>
      <c r="M110" s="19"/>
      <c r="N110" s="19">
        <f t="shared" si="46"/>
        <v>0</v>
      </c>
      <c r="O110" s="19">
        <f t="shared" si="47"/>
        <v>0</v>
      </c>
      <c r="P110" s="19">
        <f t="shared" si="43"/>
        <v>0</v>
      </c>
      <c r="Q110" s="19">
        <f t="shared" si="48"/>
        <v>0</v>
      </c>
      <c r="R110" s="52"/>
    </row>
    <row r="111" spans="2:19" x14ac:dyDescent="0.25">
      <c r="B111" s="51">
        <f>IF(F111&lt;&gt;"",1+MAX($B$22:B110),"")</f>
        <v>38</v>
      </c>
      <c r="C111" s="55" t="s">
        <v>219</v>
      </c>
      <c r="D111" s="10" t="s">
        <v>222</v>
      </c>
      <c r="E111" s="25" t="s">
        <v>86</v>
      </c>
      <c r="F111" s="41">
        <f>377*2</f>
        <v>754</v>
      </c>
      <c r="G111" s="94"/>
      <c r="H111" s="94">
        <f t="shared" si="44"/>
        <v>0</v>
      </c>
      <c r="I111" s="94">
        <f t="shared" si="42"/>
        <v>0</v>
      </c>
      <c r="J111" s="95"/>
      <c r="K111" s="96">
        <f t="shared" si="45"/>
        <v>0</v>
      </c>
      <c r="L111" s="96"/>
      <c r="M111" s="94"/>
      <c r="N111" s="94">
        <f t="shared" si="46"/>
        <v>0</v>
      </c>
      <c r="O111" s="94">
        <f t="shared" si="47"/>
        <v>0</v>
      </c>
      <c r="P111" s="94">
        <f t="shared" si="43"/>
        <v>0</v>
      </c>
      <c r="Q111" s="94">
        <f t="shared" si="48"/>
        <v>0</v>
      </c>
      <c r="R111" s="52"/>
    </row>
    <row r="112" spans="2:19" x14ac:dyDescent="0.25">
      <c r="B112" s="51" t="str">
        <f>IF(F112&lt;&gt;"",1+MAX($B$22:B111),"")</f>
        <v/>
      </c>
      <c r="C112" s="55"/>
      <c r="D112" s="10"/>
      <c r="E112" s="25"/>
      <c r="F112" s="41"/>
      <c r="G112" s="19"/>
      <c r="H112" s="19">
        <f t="shared" si="44"/>
        <v>0</v>
      </c>
      <c r="I112" s="19">
        <f t="shared" si="42"/>
        <v>0</v>
      </c>
      <c r="J112" s="17"/>
      <c r="K112" s="12">
        <f t="shared" si="45"/>
        <v>0</v>
      </c>
      <c r="L112" s="12"/>
      <c r="M112" s="19"/>
      <c r="N112" s="19">
        <f t="shared" si="46"/>
        <v>0</v>
      </c>
      <c r="O112" s="19">
        <f t="shared" si="47"/>
        <v>0</v>
      </c>
      <c r="P112" s="19">
        <f t="shared" si="43"/>
        <v>0</v>
      </c>
      <c r="Q112" s="19">
        <f t="shared" si="48"/>
        <v>0</v>
      </c>
      <c r="R112" s="52"/>
    </row>
    <row r="113" spans="2:18" x14ac:dyDescent="0.25">
      <c r="B113" s="51" t="str">
        <f>IF(F113&lt;&gt;"",1+MAX($B$22:B112),"")</f>
        <v/>
      </c>
      <c r="C113" s="55"/>
      <c r="D113" s="53" t="s">
        <v>223</v>
      </c>
      <c r="E113" s="25"/>
      <c r="F113" s="41"/>
      <c r="G113" s="19"/>
      <c r="H113" s="19">
        <f t="shared" si="44"/>
        <v>0</v>
      </c>
      <c r="I113" s="19">
        <f t="shared" si="42"/>
        <v>0</v>
      </c>
      <c r="J113" s="17"/>
      <c r="K113" s="12">
        <f t="shared" si="45"/>
        <v>0</v>
      </c>
      <c r="L113" s="12"/>
      <c r="M113" s="19"/>
      <c r="N113" s="19">
        <f t="shared" si="46"/>
        <v>0</v>
      </c>
      <c r="O113" s="19">
        <f t="shared" si="47"/>
        <v>0</v>
      </c>
      <c r="P113" s="19">
        <f t="shared" si="43"/>
        <v>0</v>
      </c>
      <c r="Q113" s="19">
        <f t="shared" si="48"/>
        <v>0</v>
      </c>
      <c r="R113" s="52"/>
    </row>
    <row r="114" spans="2:18" x14ac:dyDescent="0.25">
      <c r="B114" s="51">
        <f>IF(F114&lt;&gt;"",1+MAX($B$22:B113),"")</f>
        <v>39</v>
      </c>
      <c r="C114" s="55" t="s">
        <v>219</v>
      </c>
      <c r="D114" s="10" t="s">
        <v>224</v>
      </c>
      <c r="E114" s="25" t="s">
        <v>86</v>
      </c>
      <c r="F114" s="41">
        <v>377</v>
      </c>
      <c r="G114" s="94"/>
      <c r="H114" s="94">
        <f t="shared" si="44"/>
        <v>0</v>
      </c>
      <c r="I114" s="94">
        <f t="shared" ref="I114" si="49">F114*H114</f>
        <v>0</v>
      </c>
      <c r="J114" s="95"/>
      <c r="K114" s="96">
        <f t="shared" ref="K114" si="50">F114*J114</f>
        <v>0</v>
      </c>
      <c r="L114" s="96"/>
      <c r="M114" s="94"/>
      <c r="N114" s="94">
        <f t="shared" si="46"/>
        <v>0</v>
      </c>
      <c r="O114" s="94">
        <f t="shared" ref="O114" si="51">J114*N114</f>
        <v>0</v>
      </c>
      <c r="P114" s="94">
        <f t="shared" ref="P114" si="52">F114*O114</f>
        <v>0</v>
      </c>
      <c r="Q114" s="94">
        <f t="shared" ref="Q114" si="53">I114+P114</f>
        <v>0</v>
      </c>
      <c r="R114" s="52"/>
    </row>
    <row r="115" spans="2:18" x14ac:dyDescent="0.25">
      <c r="B115" s="51" t="str">
        <f>IF(F115&lt;&gt;"",1+MAX($B$22:B114),"")</f>
        <v/>
      </c>
      <c r="C115" s="55"/>
      <c r="D115" s="10"/>
      <c r="E115" s="25"/>
      <c r="F115" s="41"/>
      <c r="G115" s="19"/>
      <c r="H115" s="19">
        <f t="shared" si="44"/>
        <v>0</v>
      </c>
      <c r="I115" s="19">
        <f t="shared" si="42"/>
        <v>0</v>
      </c>
      <c r="J115" s="17"/>
      <c r="K115" s="12">
        <f t="shared" si="45"/>
        <v>0</v>
      </c>
      <c r="L115" s="12"/>
      <c r="M115" s="19"/>
      <c r="N115" s="19">
        <f t="shared" si="46"/>
        <v>0</v>
      </c>
      <c r="O115" s="19">
        <f t="shared" si="47"/>
        <v>0</v>
      </c>
      <c r="P115" s="19">
        <f t="shared" si="43"/>
        <v>0</v>
      </c>
      <c r="Q115" s="19">
        <f t="shared" si="48"/>
        <v>0</v>
      </c>
      <c r="R115" s="52"/>
    </row>
    <row r="116" spans="2:18" x14ac:dyDescent="0.25">
      <c r="B116" s="70" t="str">
        <f>IF(F116&lt;&gt;"",1+MAX($B$22:B115),"")</f>
        <v/>
      </c>
      <c r="C116" s="71"/>
      <c r="D116" s="72" t="s">
        <v>148</v>
      </c>
      <c r="E116" s="25"/>
      <c r="F116" s="41"/>
      <c r="G116" s="19"/>
      <c r="H116" s="19">
        <f t="shared" si="44"/>
        <v>0</v>
      </c>
      <c r="I116" s="19">
        <f t="shared" si="42"/>
        <v>0</v>
      </c>
      <c r="J116" s="17"/>
      <c r="K116" s="12">
        <f t="shared" si="45"/>
        <v>0</v>
      </c>
      <c r="L116" s="12"/>
      <c r="M116" s="19"/>
      <c r="N116" s="19">
        <f t="shared" si="46"/>
        <v>0</v>
      </c>
      <c r="O116" s="19">
        <f t="shared" si="47"/>
        <v>0</v>
      </c>
      <c r="P116" s="19">
        <f t="shared" si="43"/>
        <v>0</v>
      </c>
      <c r="Q116" s="19">
        <f t="shared" si="48"/>
        <v>0</v>
      </c>
      <c r="R116" s="52"/>
    </row>
    <row r="117" spans="2:18" ht="55.2" x14ac:dyDescent="0.25">
      <c r="B117" s="51">
        <f>IF(F117&lt;&gt;"",1+MAX($B$22:B116),"")</f>
        <v>40</v>
      </c>
      <c r="C117" s="132" t="s">
        <v>199</v>
      </c>
      <c r="D117" s="10" t="s">
        <v>149</v>
      </c>
      <c r="E117" s="25" t="s">
        <v>86</v>
      </c>
      <c r="F117" s="41">
        <f>6*4.5+3*8.33+3*8.5</f>
        <v>77.490000000000009</v>
      </c>
      <c r="G117" s="19">
        <v>1.6319999999999999</v>
      </c>
      <c r="H117" s="19">
        <f t="shared" si="44"/>
        <v>1.661376</v>
      </c>
      <c r="I117" s="19">
        <f t="shared" si="42"/>
        <v>128.74002624000002</v>
      </c>
      <c r="J117" s="17">
        <v>0.13</v>
      </c>
      <c r="K117" s="12">
        <f t="shared" si="45"/>
        <v>10.073700000000002</v>
      </c>
      <c r="L117" s="97" t="s">
        <v>640</v>
      </c>
      <c r="M117" s="98">
        <v>46.88</v>
      </c>
      <c r="N117" s="19">
        <f t="shared" si="46"/>
        <v>39.004159999999999</v>
      </c>
      <c r="O117" s="19">
        <f t="shared" si="47"/>
        <v>5.0705407999999998</v>
      </c>
      <c r="P117" s="19">
        <f t="shared" si="43"/>
        <v>392.91620659200004</v>
      </c>
      <c r="Q117" s="19">
        <f t="shared" si="48"/>
        <v>521.65623283200011</v>
      </c>
      <c r="R117" s="52"/>
    </row>
    <row r="118" spans="2:18" ht="41.4" x14ac:dyDescent="0.25">
      <c r="B118" s="51">
        <f>IF(F118&lt;&gt;"",1+MAX($B$22:B117),"")</f>
        <v>41</v>
      </c>
      <c r="C118" s="132"/>
      <c r="D118" s="10" t="s">
        <v>150</v>
      </c>
      <c r="E118" s="25" t="s">
        <v>86</v>
      </c>
      <c r="F118" s="41">
        <f>2*8.33+2*8.5</f>
        <v>33.659999999999997</v>
      </c>
      <c r="G118" s="19">
        <v>2.448</v>
      </c>
      <c r="H118" s="19">
        <f t="shared" si="44"/>
        <v>2.4920640000000001</v>
      </c>
      <c r="I118" s="19">
        <f t="shared" ref="I118:I119" si="54">F118*H118</f>
        <v>83.882874239999992</v>
      </c>
      <c r="J118" s="17">
        <v>0.19500000000000001</v>
      </c>
      <c r="K118" s="12">
        <f t="shared" ref="K118:K119" si="55">F118*J118</f>
        <v>6.5636999999999999</v>
      </c>
      <c r="L118" s="97" t="s">
        <v>640</v>
      </c>
      <c r="M118" s="98">
        <v>46.88</v>
      </c>
      <c r="N118" s="19">
        <f t="shared" si="46"/>
        <v>39.004159999999999</v>
      </c>
      <c r="O118" s="19">
        <f t="shared" si="47"/>
        <v>7.6058111999999998</v>
      </c>
      <c r="P118" s="19">
        <f t="shared" si="43"/>
        <v>256.01160499199995</v>
      </c>
      <c r="Q118" s="19">
        <f t="shared" si="48"/>
        <v>339.89447923199992</v>
      </c>
      <c r="R118" s="52"/>
    </row>
    <row r="119" spans="2:18" ht="69" x14ac:dyDescent="0.25">
      <c r="B119" s="51">
        <f>IF(F119&lt;&gt;"",1+MAX($B$22:B118),"")</f>
        <v>42</v>
      </c>
      <c r="C119" s="132"/>
      <c r="D119" s="10" t="s">
        <v>151</v>
      </c>
      <c r="E119" s="25" t="s">
        <v>86</v>
      </c>
      <c r="F119" s="41">
        <f>5*4.5+4*8.33+6*8.5+1*10.33</f>
        <v>117.14999999999999</v>
      </c>
      <c r="G119" s="19">
        <v>1.464</v>
      </c>
      <c r="H119" s="19">
        <f t="shared" si="44"/>
        <v>1.4903519999999999</v>
      </c>
      <c r="I119" s="19">
        <f t="shared" si="54"/>
        <v>174.59473679999996</v>
      </c>
      <c r="J119" s="17">
        <v>0.11</v>
      </c>
      <c r="K119" s="12">
        <f t="shared" si="55"/>
        <v>12.8865</v>
      </c>
      <c r="L119" s="97" t="s">
        <v>640</v>
      </c>
      <c r="M119" s="98">
        <v>46.88</v>
      </c>
      <c r="N119" s="19">
        <f t="shared" si="46"/>
        <v>39.004159999999999</v>
      </c>
      <c r="O119" s="19">
        <f t="shared" si="47"/>
        <v>4.2904575999999999</v>
      </c>
      <c r="P119" s="19">
        <f t="shared" si="43"/>
        <v>502.62710783999995</v>
      </c>
      <c r="Q119" s="19">
        <f t="shared" si="48"/>
        <v>677.22184463999997</v>
      </c>
      <c r="R119" s="52"/>
    </row>
    <row r="120" spans="2:18" x14ac:dyDescent="0.25">
      <c r="B120" s="51" t="str">
        <f>IF(F120&lt;&gt;"",1+MAX($B$22:B119),"")</f>
        <v/>
      </c>
      <c r="C120" s="55"/>
      <c r="D120" s="10"/>
      <c r="E120" s="25"/>
      <c r="F120" s="41"/>
      <c r="G120" s="19"/>
      <c r="H120" s="19">
        <f t="shared" si="44"/>
        <v>0</v>
      </c>
      <c r="I120" s="19">
        <f t="shared" si="42"/>
        <v>0</v>
      </c>
      <c r="J120" s="17"/>
      <c r="K120" s="12">
        <f t="shared" si="45"/>
        <v>0</v>
      </c>
      <c r="L120" s="12"/>
      <c r="M120" s="19"/>
      <c r="N120" s="19">
        <f t="shared" si="46"/>
        <v>0</v>
      </c>
      <c r="O120" s="19">
        <f t="shared" si="47"/>
        <v>0</v>
      </c>
      <c r="P120" s="19">
        <f t="shared" si="43"/>
        <v>0</v>
      </c>
      <c r="Q120" s="19">
        <f t="shared" si="48"/>
        <v>0</v>
      </c>
      <c r="R120" s="52"/>
    </row>
    <row r="121" spans="2:18" x14ac:dyDescent="0.25">
      <c r="B121" s="70" t="str">
        <f>IF(F121&lt;&gt;"",1+MAX($B$22:B120),"")</f>
        <v/>
      </c>
      <c r="C121" s="71"/>
      <c r="D121" s="72" t="s">
        <v>152</v>
      </c>
      <c r="E121" s="25"/>
      <c r="F121" s="41"/>
      <c r="G121" s="19"/>
      <c r="H121" s="19">
        <f t="shared" si="44"/>
        <v>0</v>
      </c>
      <c r="I121" s="19">
        <f t="shared" si="42"/>
        <v>0</v>
      </c>
      <c r="J121" s="17"/>
      <c r="K121" s="12">
        <f t="shared" si="45"/>
        <v>0</v>
      </c>
      <c r="L121" s="12"/>
      <c r="M121" s="19"/>
      <c r="N121" s="19">
        <f t="shared" si="46"/>
        <v>0</v>
      </c>
      <c r="O121" s="19">
        <f t="shared" si="47"/>
        <v>0</v>
      </c>
      <c r="P121" s="19">
        <f t="shared" si="43"/>
        <v>0</v>
      </c>
      <c r="Q121" s="19">
        <f t="shared" si="48"/>
        <v>0</v>
      </c>
      <c r="R121" s="52"/>
    </row>
    <row r="122" spans="2:18" x14ac:dyDescent="0.25">
      <c r="B122" s="51">
        <f>IF(F122&lt;&gt;"",1+MAX($B$22:B121),"")</f>
        <v>43</v>
      </c>
      <c r="C122" s="132" t="s">
        <v>199</v>
      </c>
      <c r="D122" s="10" t="s">
        <v>163</v>
      </c>
      <c r="E122" s="25" t="s">
        <v>86</v>
      </c>
      <c r="F122" s="41">
        <f>59.02/1</f>
        <v>59.02</v>
      </c>
      <c r="G122" s="19">
        <v>2.3039999999999998</v>
      </c>
      <c r="H122" s="19">
        <f t="shared" si="44"/>
        <v>2.345472</v>
      </c>
      <c r="I122" s="19">
        <f t="shared" si="42"/>
        <v>138.42975744</v>
      </c>
      <c r="J122" s="17">
        <v>7.3999999999999996E-2</v>
      </c>
      <c r="K122" s="12">
        <f t="shared" si="45"/>
        <v>4.3674799999999996</v>
      </c>
      <c r="L122" s="97" t="s">
        <v>640</v>
      </c>
      <c r="M122" s="98">
        <v>46.88</v>
      </c>
      <c r="N122" s="19">
        <f t="shared" si="46"/>
        <v>39.004159999999999</v>
      </c>
      <c r="O122" s="19">
        <f t="shared" si="47"/>
        <v>2.8863078399999997</v>
      </c>
      <c r="P122" s="19">
        <f t="shared" si="43"/>
        <v>170.3498887168</v>
      </c>
      <c r="Q122" s="19">
        <f t="shared" si="48"/>
        <v>308.77964615680003</v>
      </c>
      <c r="R122" s="52"/>
    </row>
    <row r="123" spans="2:18" x14ac:dyDescent="0.25">
      <c r="B123" s="51">
        <f>IF(F123&lt;&gt;"",1+MAX($B$22:B122),"")</f>
        <v>44</v>
      </c>
      <c r="C123" s="132"/>
      <c r="D123" s="10" t="s">
        <v>182</v>
      </c>
      <c r="E123" s="25" t="s">
        <v>86</v>
      </c>
      <c r="F123" s="41">
        <v>114.79</v>
      </c>
      <c r="G123" s="19">
        <v>0.85199999999999998</v>
      </c>
      <c r="H123" s="19">
        <f t="shared" si="44"/>
        <v>0.867336</v>
      </c>
      <c r="I123" s="19">
        <f t="shared" si="42"/>
        <v>99.561499440000006</v>
      </c>
      <c r="J123" s="17">
        <v>2.8000000000000001E-2</v>
      </c>
      <c r="K123" s="12">
        <f t="shared" si="45"/>
        <v>3.2141200000000003</v>
      </c>
      <c r="L123" s="97" t="s">
        <v>640</v>
      </c>
      <c r="M123" s="98">
        <v>46.88</v>
      </c>
      <c r="N123" s="19">
        <f t="shared" si="46"/>
        <v>39.004159999999999</v>
      </c>
      <c r="O123" s="19">
        <f t="shared" si="47"/>
        <v>1.0921164800000001</v>
      </c>
      <c r="P123" s="19">
        <f t="shared" si="43"/>
        <v>125.36405073920001</v>
      </c>
      <c r="Q123" s="19">
        <f t="shared" si="48"/>
        <v>224.9255501792</v>
      </c>
      <c r="R123" s="52"/>
    </row>
    <row r="124" spans="2:18" x14ac:dyDescent="0.25">
      <c r="B124" s="51">
        <f>IF(F124&lt;&gt;"",1+MAX($B$22:B123),"")</f>
        <v>45</v>
      </c>
      <c r="C124" s="132"/>
      <c r="D124" s="10" t="s">
        <v>162</v>
      </c>
      <c r="E124" s="25" t="s">
        <v>86</v>
      </c>
      <c r="F124" s="41">
        <f>454.08/1.33</f>
        <v>341.41353383458642</v>
      </c>
      <c r="G124" s="19">
        <v>2.3039999999999998</v>
      </c>
      <c r="H124" s="19">
        <f t="shared" si="44"/>
        <v>2.345472</v>
      </c>
      <c r="I124" s="19">
        <f t="shared" si="42"/>
        <v>800.77588403007508</v>
      </c>
      <c r="J124" s="17">
        <v>7.3999999999999996E-2</v>
      </c>
      <c r="K124" s="12">
        <f t="shared" si="45"/>
        <v>25.264601503759394</v>
      </c>
      <c r="L124" s="97" t="s">
        <v>640</v>
      </c>
      <c r="M124" s="98">
        <v>46.88</v>
      </c>
      <c r="N124" s="19">
        <f t="shared" si="46"/>
        <v>39.004159999999999</v>
      </c>
      <c r="O124" s="19">
        <f t="shared" si="47"/>
        <v>2.8863078399999997</v>
      </c>
      <c r="P124" s="19">
        <f t="shared" si="43"/>
        <v>985.4245593888719</v>
      </c>
      <c r="Q124" s="19">
        <f t="shared" si="48"/>
        <v>1786.2004434189471</v>
      </c>
      <c r="R124" s="52"/>
    </row>
    <row r="125" spans="2:18" x14ac:dyDescent="0.25">
      <c r="B125" s="51">
        <f>IF(F125&lt;&gt;"",1+MAX($B$22:B124),"")</f>
        <v>46</v>
      </c>
      <c r="C125" s="132"/>
      <c r="D125" s="10" t="s">
        <v>161</v>
      </c>
      <c r="E125" s="25" t="s">
        <v>86</v>
      </c>
      <c r="F125" s="41">
        <f>42.88/1.33</f>
        <v>32.2406015037594</v>
      </c>
      <c r="G125" s="19">
        <v>1.1519999999999999</v>
      </c>
      <c r="H125" s="19">
        <f t="shared" si="44"/>
        <v>1.172736</v>
      </c>
      <c r="I125" s="19">
        <f t="shared" si="42"/>
        <v>37.809714045112784</v>
      </c>
      <c r="J125" s="17">
        <v>3.6999999999999998E-2</v>
      </c>
      <c r="K125" s="12">
        <f t="shared" si="45"/>
        <v>1.1929022556390978</v>
      </c>
      <c r="L125" s="97" t="s">
        <v>640</v>
      </c>
      <c r="M125" s="98">
        <v>46.88</v>
      </c>
      <c r="N125" s="19">
        <f t="shared" si="46"/>
        <v>39.004159999999999</v>
      </c>
      <c r="O125" s="19">
        <f t="shared" si="47"/>
        <v>1.4431539199999999</v>
      </c>
      <c r="P125" s="19">
        <f t="shared" si="43"/>
        <v>46.52815044330827</v>
      </c>
      <c r="Q125" s="19">
        <f t="shared" si="48"/>
        <v>84.337864488421047</v>
      </c>
      <c r="R125" s="52"/>
    </row>
    <row r="126" spans="2:18" x14ac:dyDescent="0.25">
      <c r="B126" s="51">
        <f>IF(F126&lt;&gt;"",1+MAX($B$22:B125),"")</f>
        <v>47</v>
      </c>
      <c r="C126" s="132"/>
      <c r="D126" s="10" t="s">
        <v>159</v>
      </c>
      <c r="E126" s="25" t="s">
        <v>86</v>
      </c>
      <c r="F126" s="41">
        <f>449.56/1.33</f>
        <v>338.01503759398497</v>
      </c>
      <c r="G126" s="19">
        <v>1.1519999999999999</v>
      </c>
      <c r="H126" s="19">
        <f t="shared" si="44"/>
        <v>1.172736</v>
      </c>
      <c r="I126" s="19">
        <f t="shared" si="42"/>
        <v>396.40240312781958</v>
      </c>
      <c r="J126" s="17">
        <v>3.6999999999999998E-2</v>
      </c>
      <c r="K126" s="12">
        <f t="shared" si="45"/>
        <v>12.506556390977444</v>
      </c>
      <c r="L126" s="97" t="s">
        <v>640</v>
      </c>
      <c r="M126" s="98">
        <v>46.88</v>
      </c>
      <c r="N126" s="19">
        <f t="shared" si="46"/>
        <v>39.004159999999999</v>
      </c>
      <c r="O126" s="19">
        <f t="shared" si="47"/>
        <v>1.4431539199999999</v>
      </c>
      <c r="P126" s="19">
        <f t="shared" si="43"/>
        <v>487.80772652270673</v>
      </c>
      <c r="Q126" s="19">
        <f t="shared" si="48"/>
        <v>884.21012965052637</v>
      </c>
      <c r="R126" s="52"/>
    </row>
    <row r="127" spans="2:18" x14ac:dyDescent="0.25">
      <c r="B127" s="51">
        <f>IF(F127&lt;&gt;"",1+MAX($B$22:B126),"")</f>
        <v>48</v>
      </c>
      <c r="C127" s="132"/>
      <c r="D127" s="10" t="s">
        <v>160</v>
      </c>
      <c r="E127" s="25" t="s">
        <v>86</v>
      </c>
      <c r="F127" s="41">
        <f>586.4/1</f>
        <v>586.4</v>
      </c>
      <c r="G127" s="19">
        <v>1.4279999999999999</v>
      </c>
      <c r="H127" s="19">
        <f t="shared" si="44"/>
        <v>1.4537039999999999</v>
      </c>
      <c r="I127" s="19">
        <f t="shared" si="42"/>
        <v>852.45202559999996</v>
      </c>
      <c r="J127" s="17">
        <v>4.5999999999999999E-2</v>
      </c>
      <c r="K127" s="12">
        <f t="shared" si="45"/>
        <v>26.974399999999999</v>
      </c>
      <c r="L127" s="97" t="s">
        <v>640</v>
      </c>
      <c r="M127" s="98">
        <v>46.88</v>
      </c>
      <c r="N127" s="19">
        <f t="shared" si="46"/>
        <v>39.004159999999999</v>
      </c>
      <c r="O127" s="19">
        <f t="shared" si="47"/>
        <v>1.7941913599999999</v>
      </c>
      <c r="P127" s="19">
        <f t="shared" si="43"/>
        <v>1052.1138135039998</v>
      </c>
      <c r="Q127" s="19">
        <f t="shared" si="48"/>
        <v>1904.5658391039997</v>
      </c>
      <c r="R127" s="52"/>
    </row>
    <row r="128" spans="2:18" x14ac:dyDescent="0.25">
      <c r="B128" s="51">
        <f>IF(F128&lt;&gt;"",1+MAX($B$22:B127),"")</f>
        <v>49</v>
      </c>
      <c r="C128" s="132"/>
      <c r="D128" s="10" t="s">
        <v>158</v>
      </c>
      <c r="E128" s="25" t="s">
        <v>86</v>
      </c>
      <c r="F128" s="41">
        <f>871.78/1.33</f>
        <v>655.47368421052624</v>
      </c>
      <c r="G128" s="19">
        <v>1.4279999999999999</v>
      </c>
      <c r="H128" s="19">
        <f t="shared" si="44"/>
        <v>1.4537039999999999</v>
      </c>
      <c r="I128" s="19">
        <f t="shared" si="42"/>
        <v>952.86471663157874</v>
      </c>
      <c r="J128" s="17">
        <v>4.5999999999999999E-2</v>
      </c>
      <c r="K128" s="12">
        <f t="shared" si="45"/>
        <v>30.151789473684207</v>
      </c>
      <c r="L128" s="97" t="s">
        <v>640</v>
      </c>
      <c r="M128" s="98">
        <v>46.88</v>
      </c>
      <c r="N128" s="19">
        <f t="shared" si="46"/>
        <v>39.004159999999999</v>
      </c>
      <c r="O128" s="19">
        <f t="shared" si="47"/>
        <v>1.7941913599999999</v>
      </c>
      <c r="P128" s="19">
        <f t="shared" si="43"/>
        <v>1176.0452209178945</v>
      </c>
      <c r="Q128" s="19">
        <f t="shared" si="48"/>
        <v>2128.9099375494734</v>
      </c>
      <c r="R128" s="52"/>
    </row>
    <row r="129" spans="2:18" x14ac:dyDescent="0.25">
      <c r="B129" s="51">
        <f>IF(F129&lt;&gt;"",1+MAX($B$22:B128),"")</f>
        <v>50</v>
      </c>
      <c r="C129" s="132"/>
      <c r="D129" s="10" t="s">
        <v>157</v>
      </c>
      <c r="E129" s="25" t="s">
        <v>86</v>
      </c>
      <c r="F129" s="41">
        <f>47.24/1.33</f>
        <v>35.518796992481199</v>
      </c>
      <c r="G129" s="19">
        <v>1.4279999999999999</v>
      </c>
      <c r="H129" s="19">
        <f t="shared" si="44"/>
        <v>1.4537039999999999</v>
      </c>
      <c r="I129" s="19">
        <f t="shared" si="42"/>
        <v>51.633817263157887</v>
      </c>
      <c r="J129" s="17">
        <v>4.5999999999999999E-2</v>
      </c>
      <c r="K129" s="12">
        <f t="shared" si="45"/>
        <v>1.6338646616541352</v>
      </c>
      <c r="L129" s="97" t="s">
        <v>640</v>
      </c>
      <c r="M129" s="98">
        <v>46.88</v>
      </c>
      <c r="N129" s="19">
        <f t="shared" si="46"/>
        <v>39.004159999999999</v>
      </c>
      <c r="O129" s="19">
        <f t="shared" si="47"/>
        <v>1.7941913599999999</v>
      </c>
      <c r="P129" s="19">
        <f t="shared" si="43"/>
        <v>63.727518681503753</v>
      </c>
      <c r="Q129" s="19">
        <f t="shared" si="48"/>
        <v>115.36133594466165</v>
      </c>
      <c r="R129" s="52"/>
    </row>
    <row r="130" spans="2:18" x14ac:dyDescent="0.25">
      <c r="B130" s="51">
        <f>IF(F130&lt;&gt;"",1+MAX($B$22:B129),"")</f>
        <v>51</v>
      </c>
      <c r="C130" s="132"/>
      <c r="D130" s="10" t="s">
        <v>156</v>
      </c>
      <c r="E130" s="25" t="s">
        <v>86</v>
      </c>
      <c r="F130" s="41">
        <f>258.86/2</f>
        <v>129.43</v>
      </c>
      <c r="G130" s="19">
        <v>4.2</v>
      </c>
      <c r="H130" s="19">
        <f t="shared" si="44"/>
        <v>4.2755999999999998</v>
      </c>
      <c r="I130" s="19">
        <f t="shared" si="42"/>
        <v>553.39090799999997</v>
      </c>
      <c r="J130" s="17">
        <v>0.15</v>
      </c>
      <c r="K130" s="12">
        <f t="shared" si="45"/>
        <v>19.4145</v>
      </c>
      <c r="L130" s="97" t="s">
        <v>641</v>
      </c>
      <c r="M130" s="98">
        <v>48.9</v>
      </c>
      <c r="N130" s="19">
        <f t="shared" si="46"/>
        <v>40.684799999999996</v>
      </c>
      <c r="O130" s="19">
        <f t="shared" si="47"/>
        <v>6.1027199999999988</v>
      </c>
      <c r="P130" s="19">
        <f t="shared" si="43"/>
        <v>789.8750495999999</v>
      </c>
      <c r="Q130" s="19">
        <f t="shared" si="48"/>
        <v>1343.2659575999999</v>
      </c>
      <c r="R130" s="52"/>
    </row>
    <row r="131" spans="2:18" x14ac:dyDescent="0.25">
      <c r="B131" s="51">
        <f>IF(F131&lt;&gt;"",1+MAX($B$22:B130),"")</f>
        <v>52</v>
      </c>
      <c r="C131" s="132"/>
      <c r="D131" s="10" t="s">
        <v>153</v>
      </c>
      <c r="E131" s="25" t="s">
        <v>86</v>
      </c>
      <c r="F131" s="41">
        <f>207.44/1.33</f>
        <v>155.96992481203006</v>
      </c>
      <c r="G131" s="19">
        <v>0.81599999999999995</v>
      </c>
      <c r="H131" s="19">
        <f t="shared" si="44"/>
        <v>0.83068799999999998</v>
      </c>
      <c r="I131" s="19">
        <f t="shared" si="42"/>
        <v>129.56234490225563</v>
      </c>
      <c r="J131" s="17">
        <v>2.5999999999999999E-2</v>
      </c>
      <c r="K131" s="12">
        <f t="shared" si="45"/>
        <v>4.0552180451127811</v>
      </c>
      <c r="L131" s="97" t="s">
        <v>640</v>
      </c>
      <c r="M131" s="98">
        <v>46.88</v>
      </c>
      <c r="N131" s="19">
        <f t="shared" si="46"/>
        <v>39.004159999999999</v>
      </c>
      <c r="O131" s="19">
        <f t="shared" si="47"/>
        <v>1.0141081599999999</v>
      </c>
      <c r="P131" s="19">
        <f t="shared" si="43"/>
        <v>158.17037346646615</v>
      </c>
      <c r="Q131" s="19">
        <f t="shared" si="48"/>
        <v>287.73271836872175</v>
      </c>
      <c r="R131" s="52"/>
    </row>
    <row r="132" spans="2:18" x14ac:dyDescent="0.25">
      <c r="B132" s="51" t="str">
        <f>IF(F132&lt;&gt;"",1+MAX($B$22:B131),"")</f>
        <v/>
      </c>
      <c r="C132" s="55"/>
      <c r="D132" s="10"/>
      <c r="E132" s="25"/>
      <c r="F132" s="41"/>
      <c r="G132" s="19"/>
      <c r="H132" s="19">
        <f t="shared" si="44"/>
        <v>0</v>
      </c>
      <c r="I132" s="19">
        <f t="shared" si="42"/>
        <v>0</v>
      </c>
      <c r="J132" s="17"/>
      <c r="K132" s="12">
        <f t="shared" si="45"/>
        <v>0</v>
      </c>
      <c r="L132" s="12"/>
      <c r="M132" s="19"/>
      <c r="N132" s="19">
        <f t="shared" si="46"/>
        <v>0</v>
      </c>
      <c r="O132" s="19">
        <f t="shared" si="47"/>
        <v>0</v>
      </c>
      <c r="P132" s="19">
        <f t="shared" si="43"/>
        <v>0</v>
      </c>
      <c r="Q132" s="19">
        <f t="shared" si="48"/>
        <v>0</v>
      </c>
      <c r="R132" s="52"/>
    </row>
    <row r="133" spans="2:18" x14ac:dyDescent="0.25">
      <c r="B133" s="70" t="str">
        <f>IF(F133&lt;&gt;"",1+MAX($B$22:B132),"")</f>
        <v/>
      </c>
      <c r="C133" s="71"/>
      <c r="D133" s="72" t="s">
        <v>164</v>
      </c>
      <c r="E133" s="25"/>
      <c r="F133" s="41"/>
      <c r="G133" s="19"/>
      <c r="H133" s="19">
        <f t="shared" si="44"/>
        <v>0</v>
      </c>
      <c r="I133" s="19">
        <f t="shared" si="42"/>
        <v>0</v>
      </c>
      <c r="J133" s="17"/>
      <c r="K133" s="12">
        <f t="shared" si="45"/>
        <v>0</v>
      </c>
      <c r="L133" s="12"/>
      <c r="M133" s="19"/>
      <c r="N133" s="19">
        <f t="shared" si="46"/>
        <v>0</v>
      </c>
      <c r="O133" s="19">
        <f t="shared" si="47"/>
        <v>0</v>
      </c>
      <c r="P133" s="19">
        <f t="shared" si="43"/>
        <v>0</v>
      </c>
      <c r="Q133" s="19">
        <f t="shared" si="48"/>
        <v>0</v>
      </c>
      <c r="R133" s="52"/>
    </row>
    <row r="134" spans="2:18" x14ac:dyDescent="0.25">
      <c r="B134" s="51">
        <f>IF(F134&lt;&gt;"",1+MAX($B$22:B133),"")</f>
        <v>53</v>
      </c>
      <c r="C134" s="132" t="s">
        <v>199</v>
      </c>
      <c r="D134" s="10" t="s">
        <v>166</v>
      </c>
      <c r="E134" s="25" t="s">
        <v>86</v>
      </c>
      <c r="F134" s="41">
        <f>683.17/2</f>
        <v>341.58499999999998</v>
      </c>
      <c r="G134" s="19">
        <v>2.0880000000000001</v>
      </c>
      <c r="H134" s="19">
        <f t="shared" si="44"/>
        <v>2.1255839999999999</v>
      </c>
      <c r="I134" s="19">
        <f t="shared" si="42"/>
        <v>726.06761063999988</v>
      </c>
      <c r="J134" s="17">
        <v>6.5000000000000002E-2</v>
      </c>
      <c r="K134" s="12">
        <f t="shared" si="45"/>
        <v>22.203025</v>
      </c>
      <c r="L134" s="97" t="s">
        <v>640</v>
      </c>
      <c r="M134" s="98">
        <v>46.88</v>
      </c>
      <c r="N134" s="19">
        <f t="shared" si="46"/>
        <v>39.004159999999999</v>
      </c>
      <c r="O134" s="19">
        <f t="shared" si="47"/>
        <v>2.5352703999999999</v>
      </c>
      <c r="P134" s="19">
        <f t="shared" si="43"/>
        <v>866.01033958399989</v>
      </c>
      <c r="Q134" s="19">
        <f t="shared" si="48"/>
        <v>1592.0779502239998</v>
      </c>
      <c r="R134" s="52"/>
    </row>
    <row r="135" spans="2:18" x14ac:dyDescent="0.25">
      <c r="B135" s="51">
        <f>IF(F135&lt;&gt;"",1+MAX($B$22:B134),"")</f>
        <v>54</v>
      </c>
      <c r="C135" s="132"/>
      <c r="D135" s="10" t="s">
        <v>165</v>
      </c>
      <c r="E135" s="25" t="s">
        <v>86</v>
      </c>
      <c r="F135" s="41">
        <f>378.71*1.158/2</f>
        <v>219.27308999999997</v>
      </c>
      <c r="G135" s="19">
        <v>0.85199999999999998</v>
      </c>
      <c r="H135" s="19">
        <f t="shared" si="44"/>
        <v>0.867336</v>
      </c>
      <c r="I135" s="19">
        <f t="shared" si="42"/>
        <v>190.18344478823997</v>
      </c>
      <c r="J135" s="17">
        <v>6.5000000000000002E-2</v>
      </c>
      <c r="K135" s="12">
        <f t="shared" si="45"/>
        <v>14.252750849999998</v>
      </c>
      <c r="L135" s="97" t="s">
        <v>640</v>
      </c>
      <c r="M135" s="98">
        <v>46.88</v>
      </c>
      <c r="N135" s="19">
        <f t="shared" si="46"/>
        <v>39.004159999999999</v>
      </c>
      <c r="O135" s="19">
        <f t="shared" si="47"/>
        <v>2.5352703999999999</v>
      </c>
      <c r="P135" s="19">
        <f t="shared" si="43"/>
        <v>555.91657459353587</v>
      </c>
      <c r="Q135" s="19">
        <f t="shared" si="48"/>
        <v>746.10001938177584</v>
      </c>
      <c r="R135" s="52"/>
    </row>
    <row r="136" spans="2:18" x14ac:dyDescent="0.25">
      <c r="B136" s="51" t="str">
        <f>IF(F136&lt;&gt;"",1+MAX($B$22:B135),"")</f>
        <v/>
      </c>
      <c r="C136" s="55"/>
      <c r="D136" s="10"/>
      <c r="E136" s="25"/>
      <c r="F136" s="41"/>
      <c r="G136" s="19"/>
      <c r="H136" s="19">
        <f t="shared" si="44"/>
        <v>0</v>
      </c>
      <c r="I136" s="19">
        <f t="shared" si="42"/>
        <v>0</v>
      </c>
      <c r="J136" s="17"/>
      <c r="K136" s="12">
        <f t="shared" si="45"/>
        <v>0</v>
      </c>
      <c r="L136" s="12"/>
      <c r="M136" s="19"/>
      <c r="N136" s="19">
        <f t="shared" si="46"/>
        <v>0</v>
      </c>
      <c r="O136" s="19">
        <f t="shared" si="47"/>
        <v>0</v>
      </c>
      <c r="P136" s="19">
        <f t="shared" si="43"/>
        <v>0</v>
      </c>
      <c r="Q136" s="19">
        <f t="shared" si="48"/>
        <v>0</v>
      </c>
      <c r="R136" s="52"/>
    </row>
    <row r="137" spans="2:18" x14ac:dyDescent="0.25">
      <c r="B137" s="70" t="str">
        <f>IF(F137&lt;&gt;"",1+MAX($B$22:B136),"")</f>
        <v/>
      </c>
      <c r="C137" s="71"/>
      <c r="D137" s="72" t="s">
        <v>167</v>
      </c>
      <c r="E137" s="25"/>
      <c r="F137" s="41"/>
      <c r="G137" s="19"/>
      <c r="H137" s="19">
        <f t="shared" si="44"/>
        <v>0</v>
      </c>
      <c r="I137" s="19">
        <f t="shared" si="42"/>
        <v>0</v>
      </c>
      <c r="J137" s="17"/>
      <c r="K137" s="12">
        <f t="shared" si="45"/>
        <v>0</v>
      </c>
      <c r="L137" s="12"/>
      <c r="M137" s="19"/>
      <c r="N137" s="19">
        <f t="shared" si="46"/>
        <v>0</v>
      </c>
      <c r="O137" s="19">
        <f t="shared" si="47"/>
        <v>0</v>
      </c>
      <c r="P137" s="19">
        <f t="shared" si="43"/>
        <v>0</v>
      </c>
      <c r="Q137" s="19">
        <f t="shared" si="48"/>
        <v>0</v>
      </c>
      <c r="R137" s="52"/>
    </row>
    <row r="138" spans="2:18" x14ac:dyDescent="0.25">
      <c r="B138" s="51">
        <f>IF(F138&lt;&gt;"",1+MAX($B$22:B137),"")</f>
        <v>55</v>
      </c>
      <c r="C138" s="132" t="s">
        <v>199</v>
      </c>
      <c r="D138" s="10" t="s">
        <v>168</v>
      </c>
      <c r="E138" s="25" t="s">
        <v>86</v>
      </c>
      <c r="F138" s="41">
        <v>25.09</v>
      </c>
      <c r="G138" s="19">
        <v>2.3039999999999998</v>
      </c>
      <c r="H138" s="19">
        <f t="shared" si="44"/>
        <v>2.345472</v>
      </c>
      <c r="I138" s="19">
        <f t="shared" si="42"/>
        <v>58.847892479999999</v>
      </c>
      <c r="J138" s="17">
        <v>7.3999999999999996E-2</v>
      </c>
      <c r="K138" s="12">
        <f t="shared" si="45"/>
        <v>1.85666</v>
      </c>
      <c r="L138" s="97" t="s">
        <v>640</v>
      </c>
      <c r="M138" s="98">
        <v>46.88</v>
      </c>
      <c r="N138" s="19">
        <f t="shared" si="46"/>
        <v>39.004159999999999</v>
      </c>
      <c r="O138" s="19">
        <f t="shared" si="47"/>
        <v>2.8863078399999997</v>
      </c>
      <c r="P138" s="19">
        <f t="shared" si="43"/>
        <v>72.417463705599999</v>
      </c>
      <c r="Q138" s="19">
        <f t="shared" si="48"/>
        <v>131.26535618560001</v>
      </c>
      <c r="R138" s="52"/>
    </row>
    <row r="139" spans="2:18" x14ac:dyDescent="0.25">
      <c r="B139" s="51">
        <f>IF(F139&lt;&gt;"",1+MAX($B$22:B138),"")</f>
        <v>56</v>
      </c>
      <c r="C139" s="132"/>
      <c r="D139" s="10" t="s">
        <v>169</v>
      </c>
      <c r="E139" s="25" t="s">
        <v>86</v>
      </c>
      <c r="F139" s="41">
        <v>82.25</v>
      </c>
      <c r="G139" s="19">
        <v>2.8559999999999999</v>
      </c>
      <c r="H139" s="19">
        <f t="shared" si="44"/>
        <v>2.9074079999999998</v>
      </c>
      <c r="I139" s="19">
        <f t="shared" si="42"/>
        <v>239.13430799999998</v>
      </c>
      <c r="J139" s="17">
        <v>9.1999999999999998E-2</v>
      </c>
      <c r="K139" s="12">
        <f t="shared" si="45"/>
        <v>7.5670000000000002</v>
      </c>
      <c r="L139" s="97" t="s">
        <v>640</v>
      </c>
      <c r="M139" s="98">
        <v>46.88</v>
      </c>
      <c r="N139" s="19">
        <f t="shared" si="46"/>
        <v>39.004159999999999</v>
      </c>
      <c r="O139" s="19">
        <f t="shared" si="47"/>
        <v>3.5883827199999998</v>
      </c>
      <c r="P139" s="19">
        <f t="shared" si="43"/>
        <v>295.14447872</v>
      </c>
      <c r="Q139" s="19">
        <f t="shared" si="48"/>
        <v>534.27878671999997</v>
      </c>
      <c r="R139" s="52"/>
    </row>
    <row r="140" spans="2:18" x14ac:dyDescent="0.25">
      <c r="B140" s="51">
        <f>IF(F140&lt;&gt;"",1+MAX($B$22:B139),"")</f>
        <v>57</v>
      </c>
      <c r="C140" s="132"/>
      <c r="D140" s="10" t="s">
        <v>170</v>
      </c>
      <c r="E140" s="25" t="s">
        <v>86</v>
      </c>
      <c r="F140" s="41">
        <v>126.58</v>
      </c>
      <c r="G140" s="19">
        <v>4.1760000000000002</v>
      </c>
      <c r="H140" s="19">
        <f t="shared" si="44"/>
        <v>4.2511679999999998</v>
      </c>
      <c r="I140" s="19">
        <f t="shared" si="42"/>
        <v>538.11284544</v>
      </c>
      <c r="J140" s="17">
        <v>0.114</v>
      </c>
      <c r="K140" s="12">
        <f t="shared" si="45"/>
        <v>14.430120000000001</v>
      </c>
      <c r="L140" s="97" t="s">
        <v>640</v>
      </c>
      <c r="M140" s="98">
        <v>46.88</v>
      </c>
      <c r="N140" s="19">
        <f t="shared" si="46"/>
        <v>39.004159999999999</v>
      </c>
      <c r="O140" s="19">
        <f t="shared" si="47"/>
        <v>4.4464742399999997</v>
      </c>
      <c r="P140" s="19">
        <f t="shared" si="43"/>
        <v>562.83470929919997</v>
      </c>
      <c r="Q140" s="19">
        <f t="shared" si="48"/>
        <v>1100.9475547391999</v>
      </c>
      <c r="R140" s="52"/>
    </row>
    <row r="141" spans="2:18" x14ac:dyDescent="0.25">
      <c r="B141" s="51">
        <f>IF(F141&lt;&gt;"",1+MAX($B$22:B140),"")</f>
        <v>58</v>
      </c>
      <c r="C141" s="132"/>
      <c r="D141" s="10" t="s">
        <v>171</v>
      </c>
      <c r="E141" s="25" t="s">
        <v>86</v>
      </c>
      <c r="F141" s="41">
        <v>60.35</v>
      </c>
      <c r="G141" s="19">
        <v>8.4</v>
      </c>
      <c r="H141" s="19">
        <f t="shared" si="44"/>
        <v>8.5511999999999997</v>
      </c>
      <c r="I141" s="19">
        <f t="shared" si="42"/>
        <v>516.06492000000003</v>
      </c>
      <c r="J141" s="17">
        <v>0.3</v>
      </c>
      <c r="K141" s="12">
        <f t="shared" si="45"/>
        <v>18.105</v>
      </c>
      <c r="L141" s="97" t="s">
        <v>641</v>
      </c>
      <c r="M141" s="98">
        <v>48.9</v>
      </c>
      <c r="N141" s="19">
        <f t="shared" si="46"/>
        <v>40.684799999999996</v>
      </c>
      <c r="O141" s="19">
        <f t="shared" si="47"/>
        <v>12.205439999999998</v>
      </c>
      <c r="P141" s="19">
        <f t="shared" si="43"/>
        <v>736.59830399999987</v>
      </c>
      <c r="Q141" s="19">
        <f t="shared" si="48"/>
        <v>1252.6632239999999</v>
      </c>
      <c r="R141" s="52"/>
    </row>
    <row r="142" spans="2:18" x14ac:dyDescent="0.25">
      <c r="B142" s="51">
        <f>IF(F142&lt;&gt;"",1+MAX($B$22:B141),"")</f>
        <v>59</v>
      </c>
      <c r="C142" s="132"/>
      <c r="D142" s="10" t="s">
        <v>172</v>
      </c>
      <c r="E142" s="25" t="s">
        <v>86</v>
      </c>
      <c r="F142" s="41">
        <v>74.260000000000005</v>
      </c>
      <c r="G142" s="19">
        <v>9.9600000000000009</v>
      </c>
      <c r="H142" s="19">
        <f t="shared" si="44"/>
        <v>10.139280000000001</v>
      </c>
      <c r="I142" s="19">
        <f t="shared" si="42"/>
        <v>752.94293280000011</v>
      </c>
      <c r="J142" s="17">
        <v>0.3</v>
      </c>
      <c r="K142" s="12">
        <f t="shared" si="45"/>
        <v>22.278000000000002</v>
      </c>
      <c r="L142" s="97" t="s">
        <v>641</v>
      </c>
      <c r="M142" s="98">
        <v>48.9</v>
      </c>
      <c r="N142" s="19">
        <f t="shared" si="46"/>
        <v>40.684799999999996</v>
      </c>
      <c r="O142" s="19">
        <f t="shared" si="47"/>
        <v>12.205439999999998</v>
      </c>
      <c r="P142" s="19">
        <f t="shared" si="43"/>
        <v>906.3759743999999</v>
      </c>
      <c r="Q142" s="19">
        <f t="shared" si="48"/>
        <v>1659.3189072</v>
      </c>
      <c r="R142" s="52"/>
    </row>
    <row r="143" spans="2:18" x14ac:dyDescent="0.25">
      <c r="B143" s="51">
        <f>IF(F143&lt;&gt;"",1+MAX($B$22:B142),"")</f>
        <v>60</v>
      </c>
      <c r="C143" s="132"/>
      <c r="D143" s="10" t="s">
        <v>173</v>
      </c>
      <c r="E143" s="25" t="s">
        <v>86</v>
      </c>
      <c r="F143" s="41">
        <v>86.57</v>
      </c>
      <c r="G143" s="19">
        <v>12.192</v>
      </c>
      <c r="H143" s="19">
        <f t="shared" si="44"/>
        <v>12.411456000000001</v>
      </c>
      <c r="I143" s="19">
        <f t="shared" si="42"/>
        <v>1074.4597459199999</v>
      </c>
      <c r="J143" s="17">
        <v>0.3</v>
      </c>
      <c r="K143" s="12">
        <f t="shared" si="45"/>
        <v>25.970999999999997</v>
      </c>
      <c r="L143" s="97" t="s">
        <v>641</v>
      </c>
      <c r="M143" s="98">
        <v>48.9</v>
      </c>
      <c r="N143" s="19">
        <f t="shared" si="46"/>
        <v>40.684799999999996</v>
      </c>
      <c r="O143" s="19">
        <f t="shared" si="47"/>
        <v>12.205439999999998</v>
      </c>
      <c r="P143" s="19">
        <f t="shared" si="43"/>
        <v>1056.6249407999996</v>
      </c>
      <c r="Q143" s="19">
        <f t="shared" si="48"/>
        <v>2131.0846867199998</v>
      </c>
      <c r="R143" s="52"/>
    </row>
    <row r="144" spans="2:18" x14ac:dyDescent="0.25">
      <c r="B144" s="51">
        <f>IF(F144&lt;&gt;"",1+MAX($B$22:B143),"")</f>
        <v>61</v>
      </c>
      <c r="C144" s="132"/>
      <c r="D144" s="10" t="s">
        <v>174</v>
      </c>
      <c r="E144" s="25" t="s">
        <v>86</v>
      </c>
      <c r="F144" s="41">
        <v>49.68</v>
      </c>
      <c r="G144" s="19">
        <v>3.4559999999999995</v>
      </c>
      <c r="H144" s="19">
        <f t="shared" si="44"/>
        <v>3.5182079999999996</v>
      </c>
      <c r="I144" s="19">
        <f t="shared" si="42"/>
        <v>174.78457343999997</v>
      </c>
      <c r="J144" s="17">
        <v>0.11099999999999999</v>
      </c>
      <c r="K144" s="12">
        <f t="shared" si="45"/>
        <v>5.5144799999999989</v>
      </c>
      <c r="L144" s="97" t="s">
        <v>640</v>
      </c>
      <c r="M144" s="98">
        <v>46.88</v>
      </c>
      <c r="N144" s="19">
        <f t="shared" si="46"/>
        <v>39.004159999999999</v>
      </c>
      <c r="O144" s="19">
        <f t="shared" si="47"/>
        <v>4.3294617599999992</v>
      </c>
      <c r="P144" s="19">
        <f t="shared" si="43"/>
        <v>215.08766023679996</v>
      </c>
      <c r="Q144" s="19">
        <f t="shared" si="48"/>
        <v>389.87223367679996</v>
      </c>
      <c r="R144" s="52"/>
    </row>
    <row r="145" spans="2:18" x14ac:dyDescent="0.25">
      <c r="B145" s="51">
        <f>IF(F145&lt;&gt;"",1+MAX($B$22:B144),"")</f>
        <v>62</v>
      </c>
      <c r="C145" s="132"/>
      <c r="D145" s="10" t="s">
        <v>175</v>
      </c>
      <c r="E145" s="25" t="s">
        <v>86</v>
      </c>
      <c r="F145" s="41">
        <v>34.68</v>
      </c>
      <c r="G145" s="19">
        <v>3.4559999999999995</v>
      </c>
      <c r="H145" s="19">
        <f t="shared" si="44"/>
        <v>3.5182079999999996</v>
      </c>
      <c r="I145" s="19">
        <f t="shared" si="42"/>
        <v>122.01145343999998</v>
      </c>
      <c r="J145" s="17">
        <v>0.11099999999999999</v>
      </c>
      <c r="K145" s="12">
        <f t="shared" si="45"/>
        <v>3.8494799999999993</v>
      </c>
      <c r="L145" s="97" t="s">
        <v>640</v>
      </c>
      <c r="M145" s="98">
        <v>46.88</v>
      </c>
      <c r="N145" s="19">
        <f t="shared" si="46"/>
        <v>39.004159999999999</v>
      </c>
      <c r="O145" s="19">
        <f t="shared" si="47"/>
        <v>4.3294617599999992</v>
      </c>
      <c r="P145" s="19">
        <f t="shared" si="43"/>
        <v>150.14573383679996</v>
      </c>
      <c r="Q145" s="19">
        <f t="shared" si="48"/>
        <v>272.15718727679996</v>
      </c>
      <c r="R145" s="52"/>
    </row>
    <row r="146" spans="2:18" x14ac:dyDescent="0.25">
      <c r="B146" s="51">
        <f>IF(F146&lt;&gt;"",1+MAX($B$22:B145),"")</f>
        <v>63</v>
      </c>
      <c r="C146" s="132"/>
      <c r="D146" s="10" t="s">
        <v>176</v>
      </c>
      <c r="E146" s="25" t="s">
        <v>86</v>
      </c>
      <c r="F146" s="41">
        <v>53.85</v>
      </c>
      <c r="G146" s="19">
        <v>4.2839999999999998</v>
      </c>
      <c r="H146" s="19">
        <f t="shared" si="44"/>
        <v>4.3611119999999994</v>
      </c>
      <c r="I146" s="19">
        <f t="shared" si="42"/>
        <v>234.84588119999998</v>
      </c>
      <c r="J146" s="17">
        <v>0.13800000000000001</v>
      </c>
      <c r="K146" s="12">
        <f t="shared" si="45"/>
        <v>7.4313000000000011</v>
      </c>
      <c r="L146" s="97" t="s">
        <v>640</v>
      </c>
      <c r="M146" s="98">
        <v>46.88</v>
      </c>
      <c r="N146" s="19">
        <f t="shared" si="46"/>
        <v>39.004159999999999</v>
      </c>
      <c r="O146" s="19">
        <f t="shared" si="47"/>
        <v>5.3825740800000004</v>
      </c>
      <c r="P146" s="19">
        <f t="shared" si="43"/>
        <v>289.851614208</v>
      </c>
      <c r="Q146" s="19">
        <f t="shared" si="48"/>
        <v>524.69749540800001</v>
      </c>
      <c r="R146" s="52"/>
    </row>
    <row r="147" spans="2:18" x14ac:dyDescent="0.25">
      <c r="B147" s="51">
        <f>IF(F147&lt;&gt;"",1+MAX($B$22:B146),"")</f>
        <v>64</v>
      </c>
      <c r="C147" s="132"/>
      <c r="D147" s="10" t="s">
        <v>177</v>
      </c>
      <c r="E147" s="25" t="s">
        <v>86</v>
      </c>
      <c r="F147" s="41">
        <v>32.15</v>
      </c>
      <c r="G147" s="19">
        <v>1.1519999999999999</v>
      </c>
      <c r="H147" s="19">
        <f t="shared" si="44"/>
        <v>1.172736</v>
      </c>
      <c r="I147" s="19">
        <f t="shared" si="42"/>
        <v>37.703462399999999</v>
      </c>
      <c r="J147" s="17">
        <v>3.6999999999999998E-2</v>
      </c>
      <c r="K147" s="12">
        <f t="shared" si="45"/>
        <v>1.1895499999999999</v>
      </c>
      <c r="L147" s="97" t="s">
        <v>640</v>
      </c>
      <c r="M147" s="98">
        <v>46.88</v>
      </c>
      <c r="N147" s="19">
        <f t="shared" si="46"/>
        <v>39.004159999999999</v>
      </c>
      <c r="O147" s="19">
        <f t="shared" si="47"/>
        <v>1.4431539199999999</v>
      </c>
      <c r="P147" s="19">
        <f t="shared" si="43"/>
        <v>46.397398527999997</v>
      </c>
      <c r="Q147" s="19">
        <f t="shared" si="48"/>
        <v>84.100860928000003</v>
      </c>
      <c r="R147" s="52"/>
    </row>
    <row r="148" spans="2:18" x14ac:dyDescent="0.25">
      <c r="B148" s="51">
        <f>IF(F148&lt;&gt;"",1+MAX($B$22:B147),"")</f>
        <v>65</v>
      </c>
      <c r="C148" s="132"/>
      <c r="D148" s="10" t="s">
        <v>178</v>
      </c>
      <c r="E148" s="25" t="s">
        <v>86</v>
      </c>
      <c r="F148" s="41">
        <v>35.42</v>
      </c>
      <c r="G148" s="19">
        <v>1.4279999999999999</v>
      </c>
      <c r="H148" s="19">
        <f t="shared" si="44"/>
        <v>1.4537039999999999</v>
      </c>
      <c r="I148" s="19">
        <f t="shared" ref="I148:I151" si="56">F148*H148</f>
        <v>51.490195679999999</v>
      </c>
      <c r="J148" s="17">
        <v>4.5999999999999999E-2</v>
      </c>
      <c r="K148" s="12">
        <f t="shared" si="45"/>
        <v>1.6293200000000001</v>
      </c>
      <c r="L148" s="97" t="s">
        <v>640</v>
      </c>
      <c r="M148" s="98">
        <v>46.88</v>
      </c>
      <c r="N148" s="19">
        <f t="shared" si="46"/>
        <v>39.004159999999999</v>
      </c>
      <c r="O148" s="19">
        <f t="shared" si="47"/>
        <v>1.7941913599999999</v>
      </c>
      <c r="P148" s="19">
        <f t="shared" ref="P148:P211" si="57">F148*O148</f>
        <v>63.550257971199997</v>
      </c>
      <c r="Q148" s="19">
        <f t="shared" si="48"/>
        <v>115.0404536512</v>
      </c>
      <c r="R148" s="52"/>
    </row>
    <row r="149" spans="2:18" x14ac:dyDescent="0.25">
      <c r="B149" s="51">
        <f>IF(F149&lt;&gt;"",1+MAX($B$22:B148),"")</f>
        <v>66</v>
      </c>
      <c r="C149" s="132"/>
      <c r="D149" s="10" t="s">
        <v>179</v>
      </c>
      <c r="E149" s="25" t="s">
        <v>86</v>
      </c>
      <c r="F149" s="41">
        <v>41.95</v>
      </c>
      <c r="G149" s="19">
        <v>14.4</v>
      </c>
      <c r="H149" s="19">
        <f t="shared" si="44"/>
        <v>14.6592</v>
      </c>
      <c r="I149" s="19">
        <f t="shared" si="56"/>
        <v>614.95344</v>
      </c>
      <c r="J149" s="17">
        <v>0.15</v>
      </c>
      <c r="K149" s="12">
        <f t="shared" si="45"/>
        <v>6.2925000000000004</v>
      </c>
      <c r="L149" s="97" t="s">
        <v>641</v>
      </c>
      <c r="M149" s="98">
        <v>48.9</v>
      </c>
      <c r="N149" s="19">
        <f t="shared" si="46"/>
        <v>40.684799999999996</v>
      </c>
      <c r="O149" s="19">
        <f t="shared" si="47"/>
        <v>6.1027199999999988</v>
      </c>
      <c r="P149" s="19">
        <f t="shared" si="57"/>
        <v>256.00910399999998</v>
      </c>
      <c r="Q149" s="19">
        <f t="shared" si="48"/>
        <v>870.96254399999998</v>
      </c>
      <c r="R149" s="52"/>
    </row>
    <row r="150" spans="2:18" x14ac:dyDescent="0.25">
      <c r="B150" s="51">
        <f>IF(F150&lt;&gt;"",1+MAX($B$22:B149),"")</f>
        <v>67</v>
      </c>
      <c r="C150" s="132"/>
      <c r="D150" s="10" t="s">
        <v>180</v>
      </c>
      <c r="E150" s="25" t="s">
        <v>86</v>
      </c>
      <c r="F150" s="41">
        <v>10.69</v>
      </c>
      <c r="G150" s="19">
        <v>21.12</v>
      </c>
      <c r="H150" s="19">
        <f t="shared" si="44"/>
        <v>21.500160000000001</v>
      </c>
      <c r="I150" s="19">
        <f t="shared" si="56"/>
        <v>229.83671039999999</v>
      </c>
      <c r="J150" s="17">
        <v>0.15</v>
      </c>
      <c r="K150" s="12">
        <f t="shared" si="45"/>
        <v>1.6034999999999999</v>
      </c>
      <c r="L150" s="97" t="s">
        <v>641</v>
      </c>
      <c r="M150" s="98">
        <v>48.9</v>
      </c>
      <c r="N150" s="19">
        <f t="shared" si="46"/>
        <v>40.684799999999996</v>
      </c>
      <c r="O150" s="19">
        <f t="shared" si="47"/>
        <v>6.1027199999999988</v>
      </c>
      <c r="P150" s="19">
        <f t="shared" si="57"/>
        <v>65.238076799999988</v>
      </c>
      <c r="Q150" s="19">
        <f t="shared" si="48"/>
        <v>295.07478719999995</v>
      </c>
      <c r="R150" s="52"/>
    </row>
    <row r="151" spans="2:18" x14ac:dyDescent="0.25">
      <c r="B151" s="51">
        <f>IF(F151&lt;&gt;"",1+MAX($B$22:B150),"")</f>
        <v>68</v>
      </c>
      <c r="C151" s="132"/>
      <c r="D151" s="10" t="s">
        <v>181</v>
      </c>
      <c r="E151" s="25" t="s">
        <v>86</v>
      </c>
      <c r="F151" s="41">
        <v>28.17</v>
      </c>
      <c r="G151" s="19">
        <v>4.9800000000000004</v>
      </c>
      <c r="H151" s="19">
        <f t="shared" si="44"/>
        <v>5.0696400000000006</v>
      </c>
      <c r="I151" s="19">
        <f t="shared" si="56"/>
        <v>142.81175880000004</v>
      </c>
      <c r="J151" s="17">
        <v>0.15</v>
      </c>
      <c r="K151" s="12">
        <f t="shared" si="45"/>
        <v>4.2255000000000003</v>
      </c>
      <c r="L151" s="97" t="s">
        <v>641</v>
      </c>
      <c r="M151" s="98">
        <v>48.9</v>
      </c>
      <c r="N151" s="19">
        <f t="shared" si="46"/>
        <v>40.684799999999996</v>
      </c>
      <c r="O151" s="19">
        <f t="shared" si="47"/>
        <v>6.1027199999999988</v>
      </c>
      <c r="P151" s="19">
        <f t="shared" si="57"/>
        <v>171.91362239999998</v>
      </c>
      <c r="Q151" s="19">
        <f t="shared" si="48"/>
        <v>314.72538120000002</v>
      </c>
      <c r="R151" s="52"/>
    </row>
    <row r="152" spans="2:18" x14ac:dyDescent="0.25">
      <c r="B152" s="51" t="str">
        <f>IF(F152&lt;&gt;"",1+MAX($B$22:B151),"")</f>
        <v/>
      </c>
      <c r="C152" s="55"/>
      <c r="D152" s="10"/>
      <c r="E152" s="25"/>
      <c r="F152" s="41"/>
      <c r="G152" s="19"/>
      <c r="H152" s="19">
        <f t="shared" si="44"/>
        <v>0</v>
      </c>
      <c r="I152" s="19">
        <f t="shared" ref="I152:I211" si="58">F152*H152</f>
        <v>0</v>
      </c>
      <c r="J152" s="17"/>
      <c r="K152" s="12">
        <f t="shared" si="45"/>
        <v>0</v>
      </c>
      <c r="L152" s="12"/>
      <c r="M152" s="19"/>
      <c r="N152" s="19">
        <f t="shared" si="46"/>
        <v>0</v>
      </c>
      <c r="O152" s="19">
        <f t="shared" si="47"/>
        <v>0</v>
      </c>
      <c r="P152" s="19">
        <f t="shared" si="57"/>
        <v>0</v>
      </c>
      <c r="Q152" s="19">
        <f t="shared" si="48"/>
        <v>0</v>
      </c>
      <c r="R152" s="52"/>
    </row>
    <row r="153" spans="2:18" x14ac:dyDescent="0.25">
      <c r="B153" s="70" t="str">
        <f>IF(F153&lt;&gt;"",1+MAX($B$22:B152),"")</f>
        <v/>
      </c>
      <c r="C153" s="71"/>
      <c r="D153" s="72" t="s">
        <v>183</v>
      </c>
      <c r="E153" s="25"/>
      <c r="F153" s="41"/>
      <c r="G153" s="19"/>
      <c r="H153" s="19">
        <f t="shared" si="44"/>
        <v>0</v>
      </c>
      <c r="I153" s="19">
        <f t="shared" si="58"/>
        <v>0</v>
      </c>
      <c r="J153" s="17"/>
      <c r="K153" s="12">
        <f t="shared" si="45"/>
        <v>0</v>
      </c>
      <c r="L153" s="12"/>
      <c r="M153" s="19"/>
      <c r="N153" s="19">
        <f t="shared" si="46"/>
        <v>0</v>
      </c>
      <c r="O153" s="19">
        <f t="shared" si="47"/>
        <v>0</v>
      </c>
      <c r="P153" s="19">
        <f t="shared" si="57"/>
        <v>0</v>
      </c>
      <c r="Q153" s="19">
        <f t="shared" si="48"/>
        <v>0</v>
      </c>
      <c r="R153" s="52"/>
    </row>
    <row r="154" spans="2:18" x14ac:dyDescent="0.25">
      <c r="B154" s="51" t="str">
        <f>IF(F154&lt;&gt;"",1+MAX($B$22:B153),"")</f>
        <v/>
      </c>
      <c r="C154" s="55"/>
      <c r="D154" s="10"/>
      <c r="E154" s="25"/>
      <c r="F154" s="41"/>
      <c r="G154" s="19"/>
      <c r="H154" s="19">
        <f t="shared" si="44"/>
        <v>0</v>
      </c>
      <c r="I154" s="19">
        <f t="shared" si="58"/>
        <v>0</v>
      </c>
      <c r="J154" s="17"/>
      <c r="K154" s="12">
        <f t="shared" si="45"/>
        <v>0</v>
      </c>
      <c r="L154" s="12"/>
      <c r="M154" s="19"/>
      <c r="N154" s="19">
        <f t="shared" si="46"/>
        <v>0</v>
      </c>
      <c r="O154" s="19">
        <f t="shared" si="47"/>
        <v>0</v>
      </c>
      <c r="P154" s="19">
        <f t="shared" si="57"/>
        <v>0</v>
      </c>
      <c r="Q154" s="19">
        <f t="shared" si="48"/>
        <v>0</v>
      </c>
      <c r="R154" s="52"/>
    </row>
    <row r="155" spans="2:18" x14ac:dyDescent="0.25">
      <c r="B155" s="51" t="str">
        <f>IF(F155&lt;&gt;"",1+MAX($B$22:B154),"")</f>
        <v/>
      </c>
      <c r="C155" s="132" t="s">
        <v>199</v>
      </c>
      <c r="D155" s="53" t="s">
        <v>87</v>
      </c>
      <c r="E155" s="25"/>
      <c r="F155" s="41"/>
      <c r="G155" s="19"/>
      <c r="H155" s="19">
        <f t="shared" si="44"/>
        <v>0</v>
      </c>
      <c r="I155" s="19">
        <f t="shared" si="58"/>
        <v>0</v>
      </c>
      <c r="J155" s="17"/>
      <c r="K155" s="12">
        <f t="shared" si="45"/>
        <v>0</v>
      </c>
      <c r="L155" s="12"/>
      <c r="M155" s="19"/>
      <c r="N155" s="19">
        <f t="shared" si="46"/>
        <v>0</v>
      </c>
      <c r="O155" s="19">
        <f t="shared" si="47"/>
        <v>0</v>
      </c>
      <c r="P155" s="19">
        <f t="shared" si="57"/>
        <v>0</v>
      </c>
      <c r="Q155" s="19">
        <f t="shared" si="48"/>
        <v>0</v>
      </c>
      <c r="R155" s="52"/>
    </row>
    <row r="156" spans="2:18" ht="69" x14ac:dyDescent="0.25">
      <c r="B156" s="51">
        <f>IF(F156&lt;&gt;"",1+MAX($B$22:B155),"")</f>
        <v>69</v>
      </c>
      <c r="C156" s="132"/>
      <c r="D156" s="10" t="s">
        <v>186</v>
      </c>
      <c r="E156" s="25" t="s">
        <v>86</v>
      </c>
      <c r="F156" s="41">
        <f>3*6.33+3*8.33+3*8.5+3*9</f>
        <v>96.48</v>
      </c>
      <c r="G156" s="19">
        <v>1.6319999999999999</v>
      </c>
      <c r="H156" s="19">
        <f t="shared" si="44"/>
        <v>1.661376</v>
      </c>
      <c r="I156" s="19">
        <f t="shared" si="58"/>
        <v>160.28955648000002</v>
      </c>
      <c r="J156" s="17">
        <v>5.1999999999999998E-2</v>
      </c>
      <c r="K156" s="12">
        <f t="shared" si="45"/>
        <v>5.0169600000000001</v>
      </c>
      <c r="L156" s="97" t="s">
        <v>640</v>
      </c>
      <c r="M156" s="98">
        <v>46.88</v>
      </c>
      <c r="N156" s="19">
        <f t="shared" si="46"/>
        <v>39.004159999999999</v>
      </c>
      <c r="O156" s="19">
        <f t="shared" si="47"/>
        <v>2.0282163199999999</v>
      </c>
      <c r="P156" s="19">
        <f t="shared" si="57"/>
        <v>195.68231055359999</v>
      </c>
      <c r="Q156" s="19">
        <f t="shared" si="48"/>
        <v>355.97186703360001</v>
      </c>
      <c r="R156" s="52"/>
    </row>
    <row r="157" spans="2:18" ht="69" x14ac:dyDescent="0.25">
      <c r="B157" s="51">
        <f>IF(F157&lt;&gt;"",1+MAX($B$22:B156),"")</f>
        <v>70</v>
      </c>
      <c r="C157" s="132"/>
      <c r="D157" s="10" t="s">
        <v>187</v>
      </c>
      <c r="E157" s="25" t="s">
        <v>86</v>
      </c>
      <c r="F157" s="41">
        <f>4*6.33+4*8.33+4*8.5+4*9</f>
        <v>128.63999999999999</v>
      </c>
      <c r="G157" s="19">
        <v>1.704</v>
      </c>
      <c r="H157" s="19">
        <f t="shared" si="44"/>
        <v>1.734672</v>
      </c>
      <c r="I157" s="19">
        <f t="shared" si="58"/>
        <v>223.14820607999997</v>
      </c>
      <c r="J157" s="17">
        <v>5.6000000000000001E-2</v>
      </c>
      <c r="K157" s="12">
        <f t="shared" si="45"/>
        <v>7.2038399999999996</v>
      </c>
      <c r="L157" s="97" t="s">
        <v>640</v>
      </c>
      <c r="M157" s="98">
        <v>46.88</v>
      </c>
      <c r="N157" s="19">
        <f t="shared" si="46"/>
        <v>39.004159999999999</v>
      </c>
      <c r="O157" s="19">
        <f t="shared" si="47"/>
        <v>2.1842329600000001</v>
      </c>
      <c r="P157" s="19">
        <f t="shared" si="57"/>
        <v>280.97972797439996</v>
      </c>
      <c r="Q157" s="19">
        <f t="shared" si="48"/>
        <v>504.12793405439993</v>
      </c>
      <c r="R157" s="52"/>
    </row>
    <row r="158" spans="2:18" ht="69" x14ac:dyDescent="0.25">
      <c r="B158" s="51">
        <f>IF(F158&lt;&gt;"",1+MAX($B$22:B157),"")</f>
        <v>71</v>
      </c>
      <c r="C158" s="132"/>
      <c r="D158" s="10" t="s">
        <v>188</v>
      </c>
      <c r="E158" s="25" t="s">
        <v>86</v>
      </c>
      <c r="F158" s="41">
        <f>2*6.33+2*8.33+2*8.5+2*9</f>
        <v>64.319999999999993</v>
      </c>
      <c r="G158" s="19">
        <v>18.288</v>
      </c>
      <c r="H158" s="19">
        <f t="shared" si="44"/>
        <v>18.617184000000002</v>
      </c>
      <c r="I158" s="19">
        <f t="shared" si="58"/>
        <v>1197.4572748799999</v>
      </c>
      <c r="J158" s="17">
        <v>0.44999999999999996</v>
      </c>
      <c r="K158" s="12">
        <f t="shared" si="45"/>
        <v>28.943999999999996</v>
      </c>
      <c r="L158" s="97" t="s">
        <v>641</v>
      </c>
      <c r="M158" s="98">
        <v>48.9</v>
      </c>
      <c r="N158" s="19">
        <f t="shared" si="46"/>
        <v>40.684799999999996</v>
      </c>
      <c r="O158" s="19">
        <f t="shared" si="47"/>
        <v>18.308159999999997</v>
      </c>
      <c r="P158" s="19">
        <f t="shared" si="57"/>
        <v>1177.5808511999996</v>
      </c>
      <c r="Q158" s="19">
        <f t="shared" si="48"/>
        <v>2375.0381260799995</v>
      </c>
      <c r="R158" s="52"/>
    </row>
    <row r="159" spans="2:18" x14ac:dyDescent="0.25">
      <c r="B159" s="51" t="str">
        <f>IF(F159&lt;&gt;"",1+MAX($B$22:B158),"")</f>
        <v/>
      </c>
      <c r="C159" s="132"/>
      <c r="D159" s="10"/>
      <c r="E159" s="25"/>
      <c r="F159" s="41"/>
      <c r="G159" s="19"/>
      <c r="H159" s="19">
        <f t="shared" si="44"/>
        <v>0</v>
      </c>
      <c r="I159" s="19">
        <f t="shared" si="58"/>
        <v>0</v>
      </c>
      <c r="J159" s="17"/>
      <c r="K159" s="12">
        <f t="shared" si="45"/>
        <v>0</v>
      </c>
      <c r="L159" s="12"/>
      <c r="M159" s="19"/>
      <c r="N159" s="19">
        <f t="shared" si="46"/>
        <v>0</v>
      </c>
      <c r="O159" s="19">
        <f t="shared" si="47"/>
        <v>0</v>
      </c>
      <c r="P159" s="19">
        <f t="shared" si="57"/>
        <v>0</v>
      </c>
      <c r="Q159" s="19">
        <f t="shared" si="48"/>
        <v>0</v>
      </c>
      <c r="R159" s="52"/>
    </row>
    <row r="160" spans="2:18" x14ac:dyDescent="0.25">
      <c r="B160" s="51" t="str">
        <f>IF(F160&lt;&gt;"",1+MAX($B$22:B159),"")</f>
        <v/>
      </c>
      <c r="C160" s="132"/>
      <c r="D160" s="53" t="s">
        <v>184</v>
      </c>
      <c r="E160" s="25"/>
      <c r="F160" s="41"/>
      <c r="G160" s="19"/>
      <c r="H160" s="19">
        <f t="shared" si="44"/>
        <v>0</v>
      </c>
      <c r="I160" s="19">
        <f t="shared" si="58"/>
        <v>0</v>
      </c>
      <c r="J160" s="17"/>
      <c r="K160" s="12">
        <f t="shared" si="45"/>
        <v>0</v>
      </c>
      <c r="L160" s="12"/>
      <c r="M160" s="19"/>
      <c r="N160" s="19">
        <f t="shared" si="46"/>
        <v>0</v>
      </c>
      <c r="O160" s="19">
        <f t="shared" si="47"/>
        <v>0</v>
      </c>
      <c r="P160" s="19">
        <f t="shared" si="57"/>
        <v>0</v>
      </c>
      <c r="Q160" s="19">
        <f t="shared" si="48"/>
        <v>0</v>
      </c>
      <c r="R160" s="52"/>
    </row>
    <row r="161" spans="2:18" x14ac:dyDescent="0.25">
      <c r="B161" s="51">
        <f>IF(F161&lt;&gt;"",1+MAX($B$22:B160),"")</f>
        <v>72</v>
      </c>
      <c r="C161" s="132"/>
      <c r="D161" s="10" t="s">
        <v>185</v>
      </c>
      <c r="E161" s="25" t="s">
        <v>86</v>
      </c>
      <c r="F161" s="41">
        <v>20.16</v>
      </c>
      <c r="G161" s="19">
        <v>2.3039999999999998</v>
      </c>
      <c r="H161" s="19">
        <f t="shared" si="44"/>
        <v>2.345472</v>
      </c>
      <c r="I161" s="19">
        <f t="shared" si="58"/>
        <v>47.284715519999999</v>
      </c>
      <c r="J161" s="17">
        <v>7.3999999999999996E-2</v>
      </c>
      <c r="K161" s="12">
        <f t="shared" si="45"/>
        <v>1.4918399999999998</v>
      </c>
      <c r="L161" s="97" t="s">
        <v>640</v>
      </c>
      <c r="M161" s="98">
        <v>46.88</v>
      </c>
      <c r="N161" s="19">
        <f t="shared" si="46"/>
        <v>39.004159999999999</v>
      </c>
      <c r="O161" s="19">
        <f t="shared" si="47"/>
        <v>2.8863078399999997</v>
      </c>
      <c r="P161" s="19">
        <f t="shared" si="57"/>
        <v>58.187966054399993</v>
      </c>
      <c r="Q161" s="19">
        <f t="shared" si="48"/>
        <v>105.47268157439999</v>
      </c>
      <c r="R161" s="52"/>
    </row>
    <row r="162" spans="2:18" x14ac:dyDescent="0.25">
      <c r="B162" s="51" t="str">
        <f>IF(F162&lt;&gt;"",1+MAX($B$22:B161),"")</f>
        <v/>
      </c>
      <c r="C162" s="55"/>
      <c r="D162" s="10"/>
      <c r="E162" s="25"/>
      <c r="F162" s="41"/>
      <c r="G162" s="19"/>
      <c r="H162" s="19">
        <f t="shared" si="44"/>
        <v>0</v>
      </c>
      <c r="I162" s="19">
        <f t="shared" si="58"/>
        <v>0</v>
      </c>
      <c r="J162" s="17"/>
      <c r="K162" s="12">
        <f t="shared" si="45"/>
        <v>0</v>
      </c>
      <c r="L162" s="12"/>
      <c r="M162" s="19"/>
      <c r="N162" s="19">
        <f t="shared" si="46"/>
        <v>0</v>
      </c>
      <c r="O162" s="19">
        <f t="shared" si="47"/>
        <v>0</v>
      </c>
      <c r="P162" s="19">
        <f t="shared" si="57"/>
        <v>0</v>
      </c>
      <c r="Q162" s="19">
        <f t="shared" si="48"/>
        <v>0</v>
      </c>
      <c r="R162" s="52"/>
    </row>
    <row r="163" spans="2:18" x14ac:dyDescent="0.25">
      <c r="B163" s="70" t="str">
        <f>IF(F163&lt;&gt;"",1+MAX($B$22:B162),"")</f>
        <v/>
      </c>
      <c r="C163" s="71"/>
      <c r="D163" s="72" t="s">
        <v>155</v>
      </c>
      <c r="E163" s="25"/>
      <c r="F163" s="41"/>
      <c r="G163" s="19"/>
      <c r="H163" s="19">
        <f t="shared" si="44"/>
        <v>0</v>
      </c>
      <c r="I163" s="19">
        <f t="shared" si="58"/>
        <v>0</v>
      </c>
      <c r="J163" s="17"/>
      <c r="K163" s="12">
        <f t="shared" si="45"/>
        <v>0</v>
      </c>
      <c r="L163" s="12"/>
      <c r="M163" s="19"/>
      <c r="N163" s="19">
        <f t="shared" si="46"/>
        <v>0</v>
      </c>
      <c r="O163" s="19">
        <f t="shared" si="47"/>
        <v>0</v>
      </c>
      <c r="P163" s="19">
        <f t="shared" si="57"/>
        <v>0</v>
      </c>
      <c r="Q163" s="19">
        <f t="shared" si="48"/>
        <v>0</v>
      </c>
      <c r="R163" s="52"/>
    </row>
    <row r="164" spans="2:18" x14ac:dyDescent="0.25">
      <c r="B164" s="51">
        <f>IF(F164&lt;&gt;"",1+MAX($B$22:B163),"")</f>
        <v>73</v>
      </c>
      <c r="C164" s="55" t="s">
        <v>219</v>
      </c>
      <c r="D164" s="10" t="s">
        <v>225</v>
      </c>
      <c r="E164" s="25" t="s">
        <v>82</v>
      </c>
      <c r="F164" s="41">
        <v>730</v>
      </c>
      <c r="G164" s="19">
        <v>1.8239999999999998</v>
      </c>
      <c r="H164" s="19">
        <f t="shared" si="44"/>
        <v>1.8568319999999998</v>
      </c>
      <c r="I164" s="19">
        <f t="shared" si="58"/>
        <v>1355.4873599999999</v>
      </c>
      <c r="J164" s="17">
        <v>1.9E-2</v>
      </c>
      <c r="K164" s="12">
        <f t="shared" si="45"/>
        <v>13.87</v>
      </c>
      <c r="L164" s="97" t="s">
        <v>640</v>
      </c>
      <c r="M164" s="98">
        <v>46.88</v>
      </c>
      <c r="N164" s="19">
        <f t="shared" si="46"/>
        <v>39.004159999999999</v>
      </c>
      <c r="O164" s="19">
        <f t="shared" si="47"/>
        <v>0.74107903999999991</v>
      </c>
      <c r="P164" s="19">
        <f t="shared" si="57"/>
        <v>540.98769919999995</v>
      </c>
      <c r="Q164" s="19">
        <f t="shared" si="48"/>
        <v>1896.4750591999998</v>
      </c>
      <c r="R164" s="52"/>
    </row>
    <row r="165" spans="2:18" x14ac:dyDescent="0.25">
      <c r="B165" s="51">
        <f>IF(F165&lt;&gt;"",1+MAX($B$22:B164),"")</f>
        <v>74</v>
      </c>
      <c r="C165" s="132" t="s">
        <v>199</v>
      </c>
      <c r="D165" s="10" t="s">
        <v>198</v>
      </c>
      <c r="E165" s="25" t="s">
        <v>82</v>
      </c>
      <c r="F165" s="41">
        <v>2723</v>
      </c>
      <c r="G165" s="19">
        <v>2.34</v>
      </c>
      <c r="H165" s="19">
        <f t="shared" si="44"/>
        <v>2.38212</v>
      </c>
      <c r="I165" s="19">
        <f t="shared" si="58"/>
        <v>6486.5127599999996</v>
      </c>
      <c r="J165" s="17">
        <v>2.3E-2</v>
      </c>
      <c r="K165" s="12">
        <f t="shared" si="45"/>
        <v>62.628999999999998</v>
      </c>
      <c r="L165" s="97" t="s">
        <v>640</v>
      </c>
      <c r="M165" s="98">
        <v>46.88</v>
      </c>
      <c r="N165" s="19">
        <f t="shared" si="46"/>
        <v>39.004159999999999</v>
      </c>
      <c r="O165" s="19">
        <f t="shared" si="47"/>
        <v>0.89709567999999995</v>
      </c>
      <c r="P165" s="19">
        <f t="shared" si="57"/>
        <v>2442.7915366399998</v>
      </c>
      <c r="Q165" s="19">
        <f t="shared" si="48"/>
        <v>8929.3042966399989</v>
      </c>
      <c r="R165" s="52"/>
    </row>
    <row r="166" spans="2:18" x14ac:dyDescent="0.25">
      <c r="B166" s="51">
        <f>IF(F166&lt;&gt;"",1+MAX($B$22:B165),"")</f>
        <v>75</v>
      </c>
      <c r="C166" s="132"/>
      <c r="D166" s="10" t="s">
        <v>154</v>
      </c>
      <c r="E166" s="25" t="s">
        <v>82</v>
      </c>
      <c r="F166" s="41">
        <v>47.24</v>
      </c>
      <c r="G166" s="19">
        <v>1.56</v>
      </c>
      <c r="H166" s="19">
        <f t="shared" si="44"/>
        <v>1.5880800000000002</v>
      </c>
      <c r="I166" s="19">
        <f t="shared" si="58"/>
        <v>75.020899200000017</v>
      </c>
      <c r="J166" s="17">
        <v>1.4E-2</v>
      </c>
      <c r="K166" s="12">
        <f t="shared" si="45"/>
        <v>0.66136000000000006</v>
      </c>
      <c r="L166" s="97" t="s">
        <v>640</v>
      </c>
      <c r="M166" s="98">
        <v>46.88</v>
      </c>
      <c r="N166" s="19">
        <f t="shared" si="46"/>
        <v>39.004159999999999</v>
      </c>
      <c r="O166" s="19">
        <f t="shared" si="47"/>
        <v>0.54605824000000003</v>
      </c>
      <c r="P166" s="19">
        <f t="shared" si="57"/>
        <v>25.795791257600001</v>
      </c>
      <c r="Q166" s="19">
        <f t="shared" si="48"/>
        <v>100.81669045760002</v>
      </c>
      <c r="R166" s="52"/>
    </row>
    <row r="167" spans="2:18" ht="27.6" x14ac:dyDescent="0.25">
      <c r="B167" s="51">
        <f>IF(F167&lt;&gt;"",1+MAX($B$22:B166),"")</f>
        <v>76</v>
      </c>
      <c r="C167" s="132"/>
      <c r="D167" s="10" t="s">
        <v>622</v>
      </c>
      <c r="E167" s="25" t="s">
        <v>82</v>
      </c>
      <c r="F167" s="41">
        <f>683.17*0.1</f>
        <v>68.316999999999993</v>
      </c>
      <c r="G167" s="19">
        <v>2.34</v>
      </c>
      <c r="H167" s="19">
        <f t="shared" si="44"/>
        <v>2.38212</v>
      </c>
      <c r="I167" s="19">
        <f t="shared" si="58"/>
        <v>162.73929203999998</v>
      </c>
      <c r="J167" s="17">
        <v>2.3E-2</v>
      </c>
      <c r="K167" s="12">
        <f t="shared" si="45"/>
        <v>1.5712909999999998</v>
      </c>
      <c r="L167" s="97" t="s">
        <v>640</v>
      </c>
      <c r="M167" s="98">
        <v>46.88</v>
      </c>
      <c r="N167" s="19">
        <f t="shared" si="46"/>
        <v>39.004159999999999</v>
      </c>
      <c r="O167" s="19">
        <f t="shared" si="47"/>
        <v>0.89709567999999995</v>
      </c>
      <c r="P167" s="19">
        <f t="shared" si="57"/>
        <v>61.286885570559988</v>
      </c>
      <c r="Q167" s="19">
        <f t="shared" si="48"/>
        <v>224.02617761055996</v>
      </c>
      <c r="R167" s="52"/>
    </row>
    <row r="168" spans="2:18" x14ac:dyDescent="0.25">
      <c r="B168" s="51" t="str">
        <f>IF(F168&lt;&gt;"",1+MAX($B$22:B167),"")</f>
        <v/>
      </c>
      <c r="C168" s="55"/>
      <c r="D168" s="10"/>
      <c r="E168" s="25"/>
      <c r="F168" s="41"/>
      <c r="G168" s="19"/>
      <c r="H168" s="19">
        <f t="shared" ref="H168:H231" si="59">G168*$T$2</f>
        <v>0</v>
      </c>
      <c r="I168" s="19">
        <f t="shared" si="58"/>
        <v>0</v>
      </c>
      <c r="J168" s="17"/>
      <c r="K168" s="12">
        <f t="shared" ref="K168:K231" si="60">F168*J168</f>
        <v>0</v>
      </c>
      <c r="L168" s="12"/>
      <c r="M168" s="19"/>
      <c r="N168" s="19">
        <f t="shared" ref="N168:N231" si="61">M168*$U$2</f>
        <v>0</v>
      </c>
      <c r="O168" s="19">
        <f t="shared" ref="O168:O231" si="62">J168*N168</f>
        <v>0</v>
      </c>
      <c r="P168" s="19">
        <f t="shared" si="57"/>
        <v>0</v>
      </c>
      <c r="Q168" s="19">
        <f t="shared" ref="Q168:Q231" si="63">I168+P168</f>
        <v>0</v>
      </c>
      <c r="R168" s="52"/>
    </row>
    <row r="169" spans="2:18" x14ac:dyDescent="0.25">
      <c r="B169" s="70" t="str">
        <f>IF(F169&lt;&gt;"",1+MAX($B$22:B168),"")</f>
        <v/>
      </c>
      <c r="C169" s="71"/>
      <c r="D169" s="72" t="s">
        <v>343</v>
      </c>
      <c r="E169" s="25"/>
      <c r="F169" s="41"/>
      <c r="G169" s="19"/>
      <c r="H169" s="19">
        <f t="shared" si="59"/>
        <v>0</v>
      </c>
      <c r="I169" s="19">
        <f t="shared" si="58"/>
        <v>0</v>
      </c>
      <c r="J169" s="17"/>
      <c r="K169" s="12">
        <f t="shared" si="60"/>
        <v>0</v>
      </c>
      <c r="L169" s="12"/>
      <c r="M169" s="19"/>
      <c r="N169" s="19">
        <f t="shared" si="61"/>
        <v>0</v>
      </c>
      <c r="O169" s="19">
        <f t="shared" si="62"/>
        <v>0</v>
      </c>
      <c r="P169" s="19">
        <f t="shared" si="57"/>
        <v>0</v>
      </c>
      <c r="Q169" s="19">
        <f t="shared" si="63"/>
        <v>0</v>
      </c>
      <c r="R169" s="52"/>
    </row>
    <row r="170" spans="2:18" ht="55.2" x14ac:dyDescent="0.25">
      <c r="B170" s="51">
        <f>IF(F170&lt;&gt;"",1+MAX($B$22:B169),"")</f>
        <v>77</v>
      </c>
      <c r="C170" s="132" t="s">
        <v>344</v>
      </c>
      <c r="D170" s="10" t="s">
        <v>350</v>
      </c>
      <c r="E170" s="25" t="s">
        <v>346</v>
      </c>
      <c r="F170" s="41">
        <f>36</f>
        <v>36</v>
      </c>
      <c r="G170" s="19">
        <v>175</v>
      </c>
      <c r="H170" s="19">
        <f t="shared" si="59"/>
        <v>178.15</v>
      </c>
      <c r="I170" s="19">
        <f t="shared" si="58"/>
        <v>6413.4000000000005</v>
      </c>
      <c r="J170" s="17">
        <v>0.58333333333333326</v>
      </c>
      <c r="K170" s="12">
        <f t="shared" si="60"/>
        <v>20.999999999999996</v>
      </c>
      <c r="L170" s="97" t="s">
        <v>632</v>
      </c>
      <c r="M170" s="98">
        <v>53.15</v>
      </c>
      <c r="N170" s="19">
        <f t="shared" si="61"/>
        <v>44.220799999999997</v>
      </c>
      <c r="O170" s="19">
        <f t="shared" si="62"/>
        <v>25.795466666666663</v>
      </c>
      <c r="P170" s="19">
        <f t="shared" si="57"/>
        <v>928.63679999999988</v>
      </c>
      <c r="Q170" s="19">
        <f t="shared" si="63"/>
        <v>7342.0368000000008</v>
      </c>
      <c r="R170" s="52"/>
    </row>
    <row r="171" spans="2:18" ht="27.6" x14ac:dyDescent="0.25">
      <c r="B171" s="51">
        <f>IF(F171&lt;&gt;"",1+MAX($B$22:B170),"")</f>
        <v>78</v>
      </c>
      <c r="C171" s="132"/>
      <c r="D171" s="10" t="s">
        <v>351</v>
      </c>
      <c r="E171" s="25" t="s">
        <v>82</v>
      </c>
      <c r="F171" s="41">
        <f>83.37</f>
        <v>83.37</v>
      </c>
      <c r="G171" s="19">
        <v>3.09</v>
      </c>
      <c r="H171" s="19">
        <f t="shared" si="59"/>
        <v>3.1456200000000001</v>
      </c>
      <c r="I171" s="19">
        <f t="shared" si="58"/>
        <v>262.25033940000003</v>
      </c>
      <c r="J171" s="17">
        <v>0.27</v>
      </c>
      <c r="K171" s="12">
        <f t="shared" si="60"/>
        <v>22.509900000000002</v>
      </c>
      <c r="L171" s="97" t="s">
        <v>640</v>
      </c>
      <c r="M171" s="98">
        <v>46.88</v>
      </c>
      <c r="N171" s="19">
        <f t="shared" si="61"/>
        <v>39.004159999999999</v>
      </c>
      <c r="O171" s="19">
        <f t="shared" si="62"/>
        <v>10.5311232</v>
      </c>
      <c r="P171" s="19">
        <f t="shared" si="57"/>
        <v>877.97974118399998</v>
      </c>
      <c r="Q171" s="19">
        <f t="shared" si="63"/>
        <v>1140.230080584</v>
      </c>
      <c r="R171" s="52"/>
    </row>
    <row r="172" spans="2:18" ht="41.4" x14ac:dyDescent="0.25">
      <c r="B172" s="51">
        <f>IF(F172&lt;&gt;"",1+MAX($B$22:B171),"")</f>
        <v>79</v>
      </c>
      <c r="C172" s="132"/>
      <c r="D172" s="10" t="s">
        <v>352</v>
      </c>
      <c r="E172" s="25" t="s">
        <v>86</v>
      </c>
      <c r="F172" s="41">
        <v>26.69</v>
      </c>
      <c r="G172" s="19">
        <v>27</v>
      </c>
      <c r="H172" s="19">
        <f t="shared" si="59"/>
        <v>27.486000000000001</v>
      </c>
      <c r="I172" s="19">
        <f t="shared" si="58"/>
        <v>733.60134000000005</v>
      </c>
      <c r="J172" s="17">
        <v>0.13900000000000001</v>
      </c>
      <c r="K172" s="12">
        <f t="shared" si="60"/>
        <v>3.7099100000000007</v>
      </c>
      <c r="L172" s="97" t="s">
        <v>636</v>
      </c>
      <c r="M172" s="98">
        <v>62.74</v>
      </c>
      <c r="N172" s="19">
        <f t="shared" si="61"/>
        <v>52.199680000000001</v>
      </c>
      <c r="O172" s="19">
        <f t="shared" si="62"/>
        <v>7.255755520000001</v>
      </c>
      <c r="P172" s="19">
        <f t="shared" si="57"/>
        <v>193.65611482880004</v>
      </c>
      <c r="Q172" s="19">
        <f t="shared" si="63"/>
        <v>927.25745482880006</v>
      </c>
      <c r="R172" s="52"/>
    </row>
    <row r="173" spans="2:18" ht="55.2" x14ac:dyDescent="0.25">
      <c r="B173" s="51">
        <f>IF(F173&lt;&gt;"",1+MAX($B$22:B172),"")</f>
        <v>80</v>
      </c>
      <c r="C173" s="132"/>
      <c r="D173" s="10" t="s">
        <v>353</v>
      </c>
      <c r="E173" s="25" t="s">
        <v>86</v>
      </c>
      <c r="F173" s="41">
        <f>39.28</f>
        <v>39.28</v>
      </c>
      <c r="G173" s="19">
        <v>41.5</v>
      </c>
      <c r="H173" s="19">
        <f t="shared" si="59"/>
        <v>42.247</v>
      </c>
      <c r="I173" s="19">
        <f t="shared" si="58"/>
        <v>1659.46216</v>
      </c>
      <c r="J173" s="17">
        <v>0.217</v>
      </c>
      <c r="K173" s="12">
        <f t="shared" si="60"/>
        <v>8.5237599999999993</v>
      </c>
      <c r="L173" s="97" t="s">
        <v>636</v>
      </c>
      <c r="M173" s="98">
        <v>62.74</v>
      </c>
      <c r="N173" s="19">
        <f t="shared" si="61"/>
        <v>52.199680000000001</v>
      </c>
      <c r="O173" s="19">
        <f t="shared" si="62"/>
        <v>11.32733056</v>
      </c>
      <c r="P173" s="19">
        <f t="shared" si="57"/>
        <v>444.93754439680004</v>
      </c>
      <c r="Q173" s="19">
        <f t="shared" si="63"/>
        <v>2104.3997043968002</v>
      </c>
      <c r="R173" s="52"/>
    </row>
    <row r="174" spans="2:18" ht="55.2" x14ac:dyDescent="0.25">
      <c r="B174" s="51">
        <f>IF(F174&lt;&gt;"",1+MAX($B$22:B173),"")</f>
        <v>81</v>
      </c>
      <c r="C174" s="132"/>
      <c r="D174" s="10" t="s">
        <v>354</v>
      </c>
      <c r="E174" s="25" t="s">
        <v>86</v>
      </c>
      <c r="F174" s="41">
        <f>84.96</f>
        <v>84.96</v>
      </c>
      <c r="G174" s="19">
        <v>3.95</v>
      </c>
      <c r="H174" s="19">
        <f t="shared" si="59"/>
        <v>4.0211000000000006</v>
      </c>
      <c r="I174" s="19">
        <f t="shared" si="58"/>
        <v>341.632656</v>
      </c>
      <c r="J174" s="17">
        <v>5.7000000000000002E-2</v>
      </c>
      <c r="K174" s="12">
        <f t="shared" si="60"/>
        <v>4.8427199999999999</v>
      </c>
      <c r="L174" s="97" t="s">
        <v>640</v>
      </c>
      <c r="M174" s="98">
        <v>46.88</v>
      </c>
      <c r="N174" s="19">
        <f t="shared" si="61"/>
        <v>39.004159999999999</v>
      </c>
      <c r="O174" s="19">
        <f t="shared" si="62"/>
        <v>2.2232371199999998</v>
      </c>
      <c r="P174" s="19">
        <f t="shared" si="57"/>
        <v>188.88622571519997</v>
      </c>
      <c r="Q174" s="19">
        <f t="shared" si="63"/>
        <v>530.5188817152</v>
      </c>
      <c r="R174" s="52"/>
    </row>
    <row r="175" spans="2:18" x14ac:dyDescent="0.25">
      <c r="B175" s="51" t="str">
        <f>IF(F175&lt;&gt;"",1+MAX($B$22:B174),"")</f>
        <v/>
      </c>
      <c r="C175" s="55"/>
      <c r="D175" s="10"/>
      <c r="E175" s="25"/>
      <c r="F175" s="41"/>
      <c r="G175" s="19"/>
      <c r="H175" s="19">
        <f t="shared" si="59"/>
        <v>0</v>
      </c>
      <c r="I175" s="19">
        <f t="shared" si="58"/>
        <v>0</v>
      </c>
      <c r="J175" s="17"/>
      <c r="K175" s="12">
        <f t="shared" si="60"/>
        <v>0</v>
      </c>
      <c r="L175" s="12"/>
      <c r="M175" s="19"/>
      <c r="N175" s="19">
        <f t="shared" si="61"/>
        <v>0</v>
      </c>
      <c r="O175" s="19">
        <f t="shared" si="62"/>
        <v>0</v>
      </c>
      <c r="P175" s="19">
        <f t="shared" si="57"/>
        <v>0</v>
      </c>
      <c r="Q175" s="19">
        <f t="shared" si="63"/>
        <v>0</v>
      </c>
      <c r="R175" s="52"/>
    </row>
    <row r="176" spans="2:18" x14ac:dyDescent="0.25">
      <c r="B176" s="70" t="str">
        <f>IF(F176&lt;&gt;"",1+MAX($B$22:B175),"")</f>
        <v/>
      </c>
      <c r="C176" s="71"/>
      <c r="D176" s="72" t="s">
        <v>355</v>
      </c>
      <c r="E176" s="25"/>
      <c r="F176" s="41"/>
      <c r="G176" s="19"/>
      <c r="H176" s="19">
        <f t="shared" si="59"/>
        <v>0</v>
      </c>
      <c r="I176" s="19">
        <f t="shared" si="58"/>
        <v>0</v>
      </c>
      <c r="J176" s="17"/>
      <c r="K176" s="12">
        <f t="shared" si="60"/>
        <v>0</v>
      </c>
      <c r="L176" s="12"/>
      <c r="M176" s="19"/>
      <c r="N176" s="19">
        <f t="shared" si="61"/>
        <v>0</v>
      </c>
      <c r="O176" s="19">
        <f t="shared" si="62"/>
        <v>0</v>
      </c>
      <c r="P176" s="19">
        <f t="shared" si="57"/>
        <v>0</v>
      </c>
      <c r="Q176" s="19">
        <f t="shared" si="63"/>
        <v>0</v>
      </c>
      <c r="R176" s="52"/>
    </row>
    <row r="177" spans="2:18" x14ac:dyDescent="0.25">
      <c r="B177" s="51">
        <f>IF(F177&lt;&gt;"",1+MAX($B$22:B176),"")</f>
        <v>82</v>
      </c>
      <c r="C177" s="55"/>
      <c r="D177" s="10" t="s">
        <v>356</v>
      </c>
      <c r="E177" s="25" t="s">
        <v>86</v>
      </c>
      <c r="F177" s="41">
        <f>1017</f>
        <v>1017</v>
      </c>
      <c r="G177" s="19">
        <v>2.95</v>
      </c>
      <c r="H177" s="19">
        <f t="shared" si="59"/>
        <v>3.0031000000000003</v>
      </c>
      <c r="I177" s="19">
        <f t="shared" si="58"/>
        <v>3054.1527000000006</v>
      </c>
      <c r="J177" s="17">
        <v>3.1984948259642522E-2</v>
      </c>
      <c r="K177" s="12">
        <f t="shared" si="60"/>
        <v>32.528692380056448</v>
      </c>
      <c r="L177" s="97" t="s">
        <v>629</v>
      </c>
      <c r="M177" s="98">
        <v>53.15</v>
      </c>
      <c r="N177" s="19">
        <f t="shared" si="61"/>
        <v>44.220799999999997</v>
      </c>
      <c r="O177" s="19">
        <f t="shared" si="62"/>
        <v>1.4143999999999999</v>
      </c>
      <c r="P177" s="19">
        <f t="shared" si="57"/>
        <v>1438.4448</v>
      </c>
      <c r="Q177" s="19">
        <f t="shared" si="63"/>
        <v>4492.5975000000008</v>
      </c>
      <c r="R177" s="52"/>
    </row>
    <row r="178" spans="2:18" x14ac:dyDescent="0.25">
      <c r="B178" s="51">
        <f>IF(F178&lt;&gt;"",1+MAX($B$22:B177),"")</f>
        <v>83</v>
      </c>
      <c r="C178" s="55"/>
      <c r="D178" s="10" t="s">
        <v>357</v>
      </c>
      <c r="E178" s="25" t="s">
        <v>86</v>
      </c>
      <c r="F178" s="41">
        <f>386</f>
        <v>386</v>
      </c>
      <c r="G178" s="19">
        <v>2.95</v>
      </c>
      <c r="H178" s="19">
        <f t="shared" si="59"/>
        <v>3.0031000000000003</v>
      </c>
      <c r="I178" s="19">
        <f t="shared" si="58"/>
        <v>1159.1966000000002</v>
      </c>
      <c r="J178" s="17">
        <v>3.1984948259642522E-2</v>
      </c>
      <c r="K178" s="12">
        <f t="shared" si="60"/>
        <v>12.346190028222013</v>
      </c>
      <c r="L178" s="97" t="s">
        <v>629</v>
      </c>
      <c r="M178" s="98">
        <v>53.15</v>
      </c>
      <c r="N178" s="19">
        <f t="shared" si="61"/>
        <v>44.220799999999997</v>
      </c>
      <c r="O178" s="19">
        <f t="shared" si="62"/>
        <v>1.4143999999999999</v>
      </c>
      <c r="P178" s="19">
        <f t="shared" si="57"/>
        <v>545.95839999999998</v>
      </c>
      <c r="Q178" s="19">
        <f t="shared" si="63"/>
        <v>1705.1550000000002</v>
      </c>
      <c r="R178" s="52"/>
    </row>
    <row r="179" spans="2:18" x14ac:dyDescent="0.25">
      <c r="B179" s="51" t="str">
        <f>IF(F179&lt;&gt;"",1+MAX($B$22:B178),"")</f>
        <v/>
      </c>
      <c r="C179" s="55"/>
      <c r="D179" s="10"/>
      <c r="E179" s="25"/>
      <c r="F179" s="41"/>
      <c r="G179" s="19"/>
      <c r="H179" s="19">
        <f t="shared" si="59"/>
        <v>0</v>
      </c>
      <c r="I179" s="19">
        <f t="shared" si="58"/>
        <v>0</v>
      </c>
      <c r="J179" s="17"/>
      <c r="K179" s="12">
        <f t="shared" si="60"/>
        <v>0</v>
      </c>
      <c r="L179" s="12"/>
      <c r="M179" s="19"/>
      <c r="N179" s="19">
        <f t="shared" si="61"/>
        <v>0</v>
      </c>
      <c r="O179" s="19">
        <f t="shared" si="62"/>
        <v>0</v>
      </c>
      <c r="P179" s="19">
        <f t="shared" si="57"/>
        <v>0</v>
      </c>
      <c r="Q179" s="19">
        <f t="shared" si="63"/>
        <v>0</v>
      </c>
      <c r="R179" s="52"/>
    </row>
    <row r="180" spans="2:18" x14ac:dyDescent="0.25">
      <c r="B180" s="70" t="str">
        <f>IF(F180&lt;&gt;"",1+MAX($B$22:B179),"")</f>
        <v/>
      </c>
      <c r="C180" s="71"/>
      <c r="D180" s="72" t="s">
        <v>358</v>
      </c>
      <c r="E180" s="25"/>
      <c r="F180" s="41"/>
      <c r="G180" s="19"/>
      <c r="H180" s="19">
        <f t="shared" si="59"/>
        <v>0</v>
      </c>
      <c r="I180" s="19">
        <f t="shared" si="58"/>
        <v>0</v>
      </c>
      <c r="J180" s="17"/>
      <c r="K180" s="12">
        <f t="shared" si="60"/>
        <v>0</v>
      </c>
      <c r="L180" s="12"/>
      <c r="M180" s="19"/>
      <c r="N180" s="19">
        <f t="shared" si="61"/>
        <v>0</v>
      </c>
      <c r="O180" s="19">
        <f t="shared" si="62"/>
        <v>0</v>
      </c>
      <c r="P180" s="19">
        <f t="shared" si="57"/>
        <v>0</v>
      </c>
      <c r="Q180" s="19">
        <f t="shared" si="63"/>
        <v>0</v>
      </c>
      <c r="R180" s="52"/>
    </row>
    <row r="181" spans="2:18" x14ac:dyDescent="0.25">
      <c r="B181" s="51" t="str">
        <f>IF(F181&lt;&gt;"",1+MAX($B$22:B180),"")</f>
        <v/>
      </c>
      <c r="C181" s="55"/>
      <c r="D181" s="10"/>
      <c r="E181" s="25"/>
      <c r="F181" s="41"/>
      <c r="G181" s="19"/>
      <c r="H181" s="19">
        <f t="shared" si="59"/>
        <v>0</v>
      </c>
      <c r="I181" s="19">
        <f t="shared" si="58"/>
        <v>0</v>
      </c>
      <c r="J181" s="17"/>
      <c r="K181" s="12">
        <f t="shared" si="60"/>
        <v>0</v>
      </c>
      <c r="L181" s="12"/>
      <c r="M181" s="19"/>
      <c r="N181" s="19">
        <f t="shared" si="61"/>
        <v>0</v>
      </c>
      <c r="O181" s="19">
        <f t="shared" si="62"/>
        <v>0</v>
      </c>
      <c r="P181" s="19">
        <f t="shared" si="57"/>
        <v>0</v>
      </c>
      <c r="Q181" s="19">
        <f t="shared" si="63"/>
        <v>0</v>
      </c>
      <c r="R181" s="52"/>
    </row>
    <row r="182" spans="2:18" x14ac:dyDescent="0.25">
      <c r="B182" s="51" t="str">
        <f>IF(F182&lt;&gt;"",1+MAX($B$22:B181),"")</f>
        <v/>
      </c>
      <c r="C182" s="75"/>
      <c r="D182" s="53" t="s">
        <v>359</v>
      </c>
      <c r="E182" s="25"/>
      <c r="F182" s="41"/>
      <c r="G182" s="19"/>
      <c r="H182" s="19">
        <f t="shared" si="59"/>
        <v>0</v>
      </c>
      <c r="I182" s="19">
        <f t="shared" si="58"/>
        <v>0</v>
      </c>
      <c r="J182" s="17"/>
      <c r="K182" s="12">
        <f t="shared" si="60"/>
        <v>0</v>
      </c>
      <c r="L182" s="12"/>
      <c r="M182" s="19"/>
      <c r="N182" s="19">
        <f t="shared" si="61"/>
        <v>0</v>
      </c>
      <c r="O182" s="19">
        <f t="shared" si="62"/>
        <v>0</v>
      </c>
      <c r="P182" s="19">
        <f t="shared" si="57"/>
        <v>0</v>
      </c>
      <c r="Q182" s="19">
        <f t="shared" si="63"/>
        <v>0</v>
      </c>
      <c r="R182" s="52"/>
    </row>
    <row r="183" spans="2:18" ht="110.4" x14ac:dyDescent="0.25">
      <c r="B183" s="51">
        <f>IF(F183&lt;&gt;"",1+MAX($B$22:B182),"")</f>
        <v>84</v>
      </c>
      <c r="C183" s="75"/>
      <c r="D183" s="10" t="s">
        <v>360</v>
      </c>
      <c r="E183" s="25" t="s">
        <v>90</v>
      </c>
      <c r="F183" s="41">
        <f>6</f>
        <v>6</v>
      </c>
      <c r="G183" s="94"/>
      <c r="H183" s="19">
        <v>240</v>
      </c>
      <c r="I183" s="19">
        <f t="shared" si="58"/>
        <v>1440</v>
      </c>
      <c r="J183" s="17">
        <v>1.5</v>
      </c>
      <c r="K183" s="12">
        <f t="shared" ref="K183:K189" si="64">F183*J183</f>
        <v>9</v>
      </c>
      <c r="L183" s="97" t="s">
        <v>632</v>
      </c>
      <c r="M183" s="98">
        <v>53.15</v>
      </c>
      <c r="N183" s="19">
        <f t="shared" si="61"/>
        <v>44.220799999999997</v>
      </c>
      <c r="O183" s="19">
        <f t="shared" si="62"/>
        <v>66.331199999999995</v>
      </c>
      <c r="P183" s="19">
        <f t="shared" si="57"/>
        <v>397.98719999999997</v>
      </c>
      <c r="Q183" s="19">
        <f t="shared" si="63"/>
        <v>1837.9872</v>
      </c>
      <c r="R183" s="52"/>
    </row>
    <row r="184" spans="2:18" ht="110.4" x14ac:dyDescent="0.25">
      <c r="B184" s="51">
        <f>IF(F184&lt;&gt;"",1+MAX($B$22:B183),"")</f>
        <v>85</v>
      </c>
      <c r="C184" s="75"/>
      <c r="D184" s="10" t="s">
        <v>361</v>
      </c>
      <c r="E184" s="25" t="s">
        <v>90</v>
      </c>
      <c r="F184" s="41">
        <f>8</f>
        <v>8</v>
      </c>
      <c r="G184" s="94"/>
      <c r="H184" s="19">
        <v>510</v>
      </c>
      <c r="I184" s="19">
        <f t="shared" si="58"/>
        <v>4080</v>
      </c>
      <c r="J184" s="17">
        <v>2</v>
      </c>
      <c r="K184" s="12">
        <f t="shared" si="64"/>
        <v>16</v>
      </c>
      <c r="L184" s="97" t="s">
        <v>632</v>
      </c>
      <c r="M184" s="98">
        <v>53.15</v>
      </c>
      <c r="N184" s="19">
        <f t="shared" si="61"/>
        <v>44.220799999999997</v>
      </c>
      <c r="O184" s="19">
        <f t="shared" si="62"/>
        <v>88.441599999999994</v>
      </c>
      <c r="P184" s="19">
        <f t="shared" si="57"/>
        <v>707.53279999999995</v>
      </c>
      <c r="Q184" s="19">
        <f t="shared" si="63"/>
        <v>4787.5328</v>
      </c>
      <c r="R184" s="52"/>
    </row>
    <row r="185" spans="2:18" ht="124.2" x14ac:dyDescent="0.25">
      <c r="B185" s="51">
        <f>IF(F185&lt;&gt;"",1+MAX($B$22:B184),"")</f>
        <v>86</v>
      </c>
      <c r="C185" s="75"/>
      <c r="D185" s="10" t="s">
        <v>362</v>
      </c>
      <c r="E185" s="25" t="s">
        <v>90</v>
      </c>
      <c r="F185" s="41">
        <f>6</f>
        <v>6</v>
      </c>
      <c r="G185" s="94"/>
      <c r="H185" s="19">
        <v>220</v>
      </c>
      <c r="I185" s="19">
        <f t="shared" si="58"/>
        <v>1320</v>
      </c>
      <c r="J185" s="17">
        <v>1.5</v>
      </c>
      <c r="K185" s="12">
        <f t="shared" si="64"/>
        <v>9</v>
      </c>
      <c r="L185" s="97" t="s">
        <v>632</v>
      </c>
      <c r="M185" s="98">
        <v>53.15</v>
      </c>
      <c r="N185" s="19">
        <f t="shared" si="61"/>
        <v>44.220799999999997</v>
      </c>
      <c r="O185" s="19">
        <f t="shared" si="62"/>
        <v>66.331199999999995</v>
      </c>
      <c r="P185" s="19">
        <f t="shared" si="57"/>
        <v>397.98719999999997</v>
      </c>
      <c r="Q185" s="19">
        <f t="shared" si="63"/>
        <v>1717.9872</v>
      </c>
      <c r="R185" s="52"/>
    </row>
    <row r="186" spans="2:18" ht="110.4" x14ac:dyDescent="0.25">
      <c r="B186" s="51">
        <f>IF(F186&lt;&gt;"",1+MAX($B$22:B185),"")</f>
        <v>87</v>
      </c>
      <c r="C186" s="75"/>
      <c r="D186" s="10" t="s">
        <v>363</v>
      </c>
      <c r="E186" s="25" t="s">
        <v>90</v>
      </c>
      <c r="F186" s="41">
        <f>8</f>
        <v>8</v>
      </c>
      <c r="G186" s="94"/>
      <c r="H186" s="19">
        <v>150</v>
      </c>
      <c r="I186" s="19">
        <f t="shared" si="58"/>
        <v>1200</v>
      </c>
      <c r="J186" s="17">
        <v>1.25</v>
      </c>
      <c r="K186" s="12">
        <f t="shared" si="64"/>
        <v>10</v>
      </c>
      <c r="L186" s="97" t="s">
        <v>632</v>
      </c>
      <c r="M186" s="98">
        <v>53.15</v>
      </c>
      <c r="N186" s="19">
        <f t="shared" si="61"/>
        <v>44.220799999999997</v>
      </c>
      <c r="O186" s="19">
        <f t="shared" si="62"/>
        <v>55.275999999999996</v>
      </c>
      <c r="P186" s="19">
        <f t="shared" si="57"/>
        <v>442.20799999999997</v>
      </c>
      <c r="Q186" s="19">
        <f t="shared" si="63"/>
        <v>1642.2080000000001</v>
      </c>
      <c r="R186" s="52"/>
    </row>
    <row r="187" spans="2:18" ht="110.4" x14ac:dyDescent="0.25">
      <c r="B187" s="51">
        <f>IF(F187&lt;&gt;"",1+MAX($B$22:B186),"")</f>
        <v>88</v>
      </c>
      <c r="C187" s="75"/>
      <c r="D187" s="10" t="s">
        <v>364</v>
      </c>
      <c r="E187" s="25" t="s">
        <v>90</v>
      </c>
      <c r="F187" s="41">
        <f>4</f>
        <v>4</v>
      </c>
      <c r="G187" s="94"/>
      <c r="H187" s="19">
        <v>50</v>
      </c>
      <c r="I187" s="19">
        <f t="shared" si="58"/>
        <v>200</v>
      </c>
      <c r="J187" s="17">
        <v>0.5</v>
      </c>
      <c r="K187" s="12">
        <f t="shared" si="64"/>
        <v>2</v>
      </c>
      <c r="L187" s="97" t="s">
        <v>632</v>
      </c>
      <c r="M187" s="98">
        <v>53.15</v>
      </c>
      <c r="N187" s="19">
        <f t="shared" si="61"/>
        <v>44.220799999999997</v>
      </c>
      <c r="O187" s="19">
        <f t="shared" si="62"/>
        <v>22.110399999999998</v>
      </c>
      <c r="P187" s="19">
        <f t="shared" si="57"/>
        <v>88.441599999999994</v>
      </c>
      <c r="Q187" s="19">
        <f t="shared" si="63"/>
        <v>288.44159999999999</v>
      </c>
      <c r="R187" s="52"/>
    </row>
    <row r="188" spans="2:18" ht="110.4" x14ac:dyDescent="0.25">
      <c r="B188" s="51">
        <f>IF(F188&lt;&gt;"",1+MAX($B$22:B187),"")</f>
        <v>89</v>
      </c>
      <c r="C188" s="75"/>
      <c r="D188" s="10" t="s">
        <v>365</v>
      </c>
      <c r="E188" s="25" t="s">
        <v>90</v>
      </c>
      <c r="F188" s="41">
        <v>1</v>
      </c>
      <c r="G188" s="94"/>
      <c r="H188" s="19">
        <v>260</v>
      </c>
      <c r="I188" s="19">
        <f t="shared" si="58"/>
        <v>260</v>
      </c>
      <c r="J188" s="17">
        <v>1.5</v>
      </c>
      <c r="K188" s="12">
        <f t="shared" si="64"/>
        <v>1.5</v>
      </c>
      <c r="L188" s="97" t="s">
        <v>632</v>
      </c>
      <c r="M188" s="98">
        <v>53.15</v>
      </c>
      <c r="N188" s="19">
        <f t="shared" si="61"/>
        <v>44.220799999999997</v>
      </c>
      <c r="O188" s="19">
        <f t="shared" si="62"/>
        <v>66.331199999999995</v>
      </c>
      <c r="P188" s="19">
        <f t="shared" si="57"/>
        <v>66.331199999999995</v>
      </c>
      <c r="Q188" s="19">
        <f t="shared" si="63"/>
        <v>326.33119999999997</v>
      </c>
      <c r="R188" s="52"/>
    </row>
    <row r="189" spans="2:18" ht="138" x14ac:dyDescent="0.25">
      <c r="B189" s="51">
        <f>IF(F189&lt;&gt;"",1+MAX($B$22:B188),"")</f>
        <v>90</v>
      </c>
      <c r="C189" s="75"/>
      <c r="D189" s="10" t="s">
        <v>366</v>
      </c>
      <c r="E189" s="25" t="s">
        <v>86</v>
      </c>
      <c r="F189" s="41">
        <v>5</v>
      </c>
      <c r="G189" s="94"/>
      <c r="H189" s="19">
        <v>220</v>
      </c>
      <c r="I189" s="19">
        <f t="shared" si="58"/>
        <v>1100</v>
      </c>
      <c r="J189" s="17">
        <v>0.64900000000000002</v>
      </c>
      <c r="K189" s="12">
        <f t="shared" si="64"/>
        <v>3.2450000000000001</v>
      </c>
      <c r="L189" s="97" t="s">
        <v>632</v>
      </c>
      <c r="M189" s="98">
        <v>53.15</v>
      </c>
      <c r="N189" s="19">
        <f t="shared" si="61"/>
        <v>44.220799999999997</v>
      </c>
      <c r="O189" s="19">
        <f t="shared" si="62"/>
        <v>28.699299199999999</v>
      </c>
      <c r="P189" s="19">
        <f t="shared" si="57"/>
        <v>143.49649599999998</v>
      </c>
      <c r="Q189" s="19">
        <f t="shared" si="63"/>
        <v>1243.496496</v>
      </c>
      <c r="R189" s="52"/>
    </row>
    <row r="190" spans="2:18" x14ac:dyDescent="0.25">
      <c r="B190" s="51" t="str">
        <f>IF(F190&lt;&gt;"",1+MAX($B$22:B189),"")</f>
        <v/>
      </c>
      <c r="C190" s="75"/>
      <c r="D190" s="10"/>
      <c r="E190" s="25"/>
      <c r="F190" s="41"/>
      <c r="G190" s="19"/>
      <c r="H190" s="19">
        <f t="shared" si="59"/>
        <v>0</v>
      </c>
      <c r="I190" s="19">
        <f t="shared" si="58"/>
        <v>0</v>
      </c>
      <c r="J190" s="17"/>
      <c r="K190" s="12">
        <f t="shared" si="60"/>
        <v>0</v>
      </c>
      <c r="L190" s="12"/>
      <c r="M190" s="19"/>
      <c r="N190" s="19">
        <f t="shared" si="61"/>
        <v>0</v>
      </c>
      <c r="O190" s="19">
        <f t="shared" si="62"/>
        <v>0</v>
      </c>
      <c r="P190" s="19">
        <f t="shared" si="57"/>
        <v>0</v>
      </c>
      <c r="Q190" s="19">
        <f t="shared" si="63"/>
        <v>0</v>
      </c>
      <c r="R190" s="52"/>
    </row>
    <row r="191" spans="2:18" x14ac:dyDescent="0.25">
      <c r="B191" s="51" t="str">
        <f>IF(F191&lt;&gt;"",1+MAX($B$22:B190),"")</f>
        <v/>
      </c>
      <c r="C191" s="75"/>
      <c r="D191" s="53" t="s">
        <v>367</v>
      </c>
      <c r="E191" s="25"/>
      <c r="F191" s="41"/>
      <c r="G191" s="19"/>
      <c r="H191" s="19">
        <f t="shared" si="59"/>
        <v>0</v>
      </c>
      <c r="I191" s="19">
        <f t="shared" si="58"/>
        <v>0</v>
      </c>
      <c r="J191" s="17"/>
      <c r="K191" s="12">
        <f t="shared" si="60"/>
        <v>0</v>
      </c>
      <c r="L191" s="12"/>
      <c r="M191" s="19"/>
      <c r="N191" s="19">
        <f t="shared" si="61"/>
        <v>0</v>
      </c>
      <c r="O191" s="19">
        <f t="shared" si="62"/>
        <v>0</v>
      </c>
      <c r="P191" s="19">
        <f t="shared" si="57"/>
        <v>0</v>
      </c>
      <c r="Q191" s="19">
        <f t="shared" si="63"/>
        <v>0</v>
      </c>
      <c r="R191" s="52"/>
    </row>
    <row r="192" spans="2:18" ht="96.6" x14ac:dyDescent="0.25">
      <c r="B192" s="51">
        <f>IF(F192&lt;&gt;"",1+MAX($B$22:B191),"")</f>
        <v>91</v>
      </c>
      <c r="C192" s="75"/>
      <c r="D192" s="10" t="s">
        <v>368</v>
      </c>
      <c r="E192" s="25" t="s">
        <v>86</v>
      </c>
      <c r="F192" s="41">
        <f>9.78</f>
        <v>9.7799999999999994</v>
      </c>
      <c r="G192" s="94"/>
      <c r="H192" s="19">
        <v>90</v>
      </c>
      <c r="I192" s="19">
        <f t="shared" si="58"/>
        <v>880.19999999999993</v>
      </c>
      <c r="J192" s="17">
        <v>0.115</v>
      </c>
      <c r="K192" s="12">
        <f t="shared" si="60"/>
        <v>1.1247</v>
      </c>
      <c r="L192" s="97" t="s">
        <v>632</v>
      </c>
      <c r="M192" s="98">
        <v>53.15</v>
      </c>
      <c r="N192" s="19">
        <f t="shared" si="61"/>
        <v>44.220799999999997</v>
      </c>
      <c r="O192" s="19">
        <f t="shared" si="62"/>
        <v>5.0853919999999997</v>
      </c>
      <c r="P192" s="19">
        <f t="shared" si="57"/>
        <v>49.735133759999997</v>
      </c>
      <c r="Q192" s="19">
        <f t="shared" si="63"/>
        <v>929.93513375999987</v>
      </c>
      <c r="R192" s="52"/>
    </row>
    <row r="193" spans="2:18" ht="96.6" x14ac:dyDescent="0.25">
      <c r="B193" s="51">
        <f>IF(F193&lt;&gt;"",1+MAX($B$22:B192),"")</f>
        <v>92</v>
      </c>
      <c r="C193" s="75"/>
      <c r="D193" s="10" t="s">
        <v>369</v>
      </c>
      <c r="E193" s="25" t="s">
        <v>86</v>
      </c>
      <c r="F193" s="41">
        <f>4.94</f>
        <v>4.9400000000000004</v>
      </c>
      <c r="G193" s="94"/>
      <c r="H193" s="19">
        <v>55</v>
      </c>
      <c r="I193" s="19">
        <f t="shared" si="58"/>
        <v>271.70000000000005</v>
      </c>
      <c r="J193" s="17">
        <v>9.5000000000000001E-2</v>
      </c>
      <c r="K193" s="12">
        <f t="shared" si="60"/>
        <v>0.46930000000000005</v>
      </c>
      <c r="L193" s="97" t="s">
        <v>632</v>
      </c>
      <c r="M193" s="98">
        <v>53.15</v>
      </c>
      <c r="N193" s="19">
        <f t="shared" si="61"/>
        <v>44.220799999999997</v>
      </c>
      <c r="O193" s="19">
        <f t="shared" si="62"/>
        <v>4.2009759999999998</v>
      </c>
      <c r="P193" s="19">
        <f t="shared" si="57"/>
        <v>20.752821440000002</v>
      </c>
      <c r="Q193" s="19">
        <f t="shared" si="63"/>
        <v>292.45282144000004</v>
      </c>
      <c r="R193" s="52"/>
    </row>
    <row r="194" spans="2:18" ht="110.4" x14ac:dyDescent="0.25">
      <c r="B194" s="51">
        <f>IF(F194&lt;&gt;"",1+MAX($B$22:B193),"")</f>
        <v>93</v>
      </c>
      <c r="C194" s="75"/>
      <c r="D194" s="10" t="s">
        <v>370</v>
      </c>
      <c r="E194" s="25" t="s">
        <v>90</v>
      </c>
      <c r="F194" s="41">
        <v>2</v>
      </c>
      <c r="G194" s="94"/>
      <c r="H194" s="19">
        <v>50</v>
      </c>
      <c r="I194" s="19">
        <f t="shared" si="58"/>
        <v>100</v>
      </c>
      <c r="J194" s="17">
        <v>9.5000000000000001E-2</v>
      </c>
      <c r="K194" s="12">
        <f t="shared" si="60"/>
        <v>0.19</v>
      </c>
      <c r="L194" s="97" t="s">
        <v>632</v>
      </c>
      <c r="M194" s="98">
        <v>53.15</v>
      </c>
      <c r="N194" s="19">
        <f t="shared" si="61"/>
        <v>44.220799999999997</v>
      </c>
      <c r="O194" s="19">
        <f t="shared" si="62"/>
        <v>4.2009759999999998</v>
      </c>
      <c r="P194" s="19">
        <f t="shared" si="57"/>
        <v>8.4019519999999996</v>
      </c>
      <c r="Q194" s="19">
        <f t="shared" si="63"/>
        <v>108.40195199999999</v>
      </c>
      <c r="R194" s="52"/>
    </row>
    <row r="195" spans="2:18" x14ac:dyDescent="0.25">
      <c r="B195" s="51" t="str">
        <f>IF(F195&lt;&gt;"",1+MAX($B$22:B194),"")</f>
        <v/>
      </c>
      <c r="C195" s="75"/>
      <c r="D195" s="10"/>
      <c r="E195" s="25"/>
      <c r="F195" s="41"/>
      <c r="G195" s="19"/>
      <c r="H195" s="19">
        <f t="shared" si="59"/>
        <v>0</v>
      </c>
      <c r="I195" s="19">
        <f t="shared" si="58"/>
        <v>0</v>
      </c>
      <c r="J195" s="17"/>
      <c r="K195" s="12">
        <f t="shared" si="60"/>
        <v>0</v>
      </c>
      <c r="L195" s="12"/>
      <c r="M195" s="19"/>
      <c r="N195" s="19">
        <f t="shared" si="61"/>
        <v>0</v>
      </c>
      <c r="O195" s="19">
        <f t="shared" si="62"/>
        <v>0</v>
      </c>
      <c r="P195" s="19">
        <f t="shared" si="57"/>
        <v>0</v>
      </c>
      <c r="Q195" s="19">
        <f t="shared" si="63"/>
        <v>0</v>
      </c>
      <c r="R195" s="52"/>
    </row>
    <row r="196" spans="2:18" x14ac:dyDescent="0.25">
      <c r="B196" s="51" t="str">
        <f>IF(F196&lt;&gt;"",1+MAX($B$22:B195),"")</f>
        <v/>
      </c>
      <c r="C196" s="75"/>
      <c r="D196" s="53" t="s">
        <v>371</v>
      </c>
      <c r="E196" s="25"/>
      <c r="F196" s="41"/>
      <c r="G196" s="19"/>
      <c r="H196" s="19">
        <f t="shared" si="59"/>
        <v>0</v>
      </c>
      <c r="I196" s="19">
        <f t="shared" si="58"/>
        <v>0</v>
      </c>
      <c r="J196" s="17"/>
      <c r="K196" s="12">
        <f t="shared" si="60"/>
        <v>0</v>
      </c>
      <c r="L196" s="12"/>
      <c r="M196" s="19"/>
      <c r="N196" s="19">
        <f t="shared" si="61"/>
        <v>0</v>
      </c>
      <c r="O196" s="19">
        <f t="shared" si="62"/>
        <v>0</v>
      </c>
      <c r="P196" s="19">
        <f t="shared" si="57"/>
        <v>0</v>
      </c>
      <c r="Q196" s="19">
        <f t="shared" si="63"/>
        <v>0</v>
      </c>
      <c r="R196" s="52"/>
    </row>
    <row r="197" spans="2:18" ht="96.6" x14ac:dyDescent="0.25">
      <c r="B197" s="51">
        <f>IF(F197&lt;&gt;"",1+MAX($B$22:B196),"")</f>
        <v>94</v>
      </c>
      <c r="C197" s="75"/>
      <c r="D197" s="10" t="s">
        <v>372</v>
      </c>
      <c r="E197" s="25" t="s">
        <v>86</v>
      </c>
      <c r="F197" s="41">
        <f>8.61</f>
        <v>8.61</v>
      </c>
      <c r="G197" s="19">
        <v>166</v>
      </c>
      <c r="H197" s="19">
        <f t="shared" si="59"/>
        <v>168.988</v>
      </c>
      <c r="I197" s="19">
        <f t="shared" si="58"/>
        <v>1454.98668</v>
      </c>
      <c r="J197" s="17">
        <v>0.27500000000000002</v>
      </c>
      <c r="K197" s="12">
        <f t="shared" si="60"/>
        <v>2.36775</v>
      </c>
      <c r="L197" s="97" t="s">
        <v>632</v>
      </c>
      <c r="M197" s="98">
        <v>53.15</v>
      </c>
      <c r="N197" s="19">
        <f t="shared" si="61"/>
        <v>44.220799999999997</v>
      </c>
      <c r="O197" s="19">
        <f t="shared" si="62"/>
        <v>12.16072</v>
      </c>
      <c r="P197" s="19">
        <f t="shared" si="57"/>
        <v>104.70379919999999</v>
      </c>
      <c r="Q197" s="19">
        <f t="shared" si="63"/>
        <v>1559.6904792</v>
      </c>
      <c r="R197" s="52"/>
    </row>
    <row r="198" spans="2:18" x14ac:dyDescent="0.25">
      <c r="B198" s="51" t="str">
        <f>IF(F198&lt;&gt;"",1+MAX($B$22:B197),"")</f>
        <v/>
      </c>
      <c r="C198" s="75"/>
      <c r="D198" s="10"/>
      <c r="E198" s="25"/>
      <c r="F198" s="41"/>
      <c r="G198" s="19"/>
      <c r="H198" s="19">
        <f t="shared" si="59"/>
        <v>0</v>
      </c>
      <c r="I198" s="19">
        <f t="shared" si="58"/>
        <v>0</v>
      </c>
      <c r="J198" s="17"/>
      <c r="K198" s="12">
        <f t="shared" si="60"/>
        <v>0</v>
      </c>
      <c r="L198" s="12"/>
      <c r="M198" s="19"/>
      <c r="N198" s="19">
        <f t="shared" si="61"/>
        <v>0</v>
      </c>
      <c r="O198" s="19">
        <f t="shared" si="62"/>
        <v>0</v>
      </c>
      <c r="P198" s="19">
        <f t="shared" si="57"/>
        <v>0</v>
      </c>
      <c r="Q198" s="19">
        <f t="shared" si="63"/>
        <v>0</v>
      </c>
      <c r="R198" s="52"/>
    </row>
    <row r="199" spans="2:18" x14ac:dyDescent="0.25">
      <c r="B199" s="51" t="str">
        <f>IF(F199&lt;&gt;"",1+MAX($B$22:B198),"")</f>
        <v/>
      </c>
      <c r="C199" s="75"/>
      <c r="D199" s="53" t="s">
        <v>373</v>
      </c>
      <c r="E199" s="25"/>
      <c r="F199" s="41"/>
      <c r="G199" s="19"/>
      <c r="H199" s="19">
        <f t="shared" si="59"/>
        <v>0</v>
      </c>
      <c r="I199" s="19">
        <f t="shared" si="58"/>
        <v>0</v>
      </c>
      <c r="J199" s="17"/>
      <c r="K199" s="12">
        <f t="shared" si="60"/>
        <v>0</v>
      </c>
      <c r="L199" s="12"/>
      <c r="M199" s="19"/>
      <c r="N199" s="19">
        <f t="shared" si="61"/>
        <v>0</v>
      </c>
      <c r="O199" s="19">
        <f t="shared" si="62"/>
        <v>0</v>
      </c>
      <c r="P199" s="19">
        <f t="shared" si="57"/>
        <v>0</v>
      </c>
      <c r="Q199" s="19">
        <f t="shared" si="63"/>
        <v>0</v>
      </c>
      <c r="R199" s="52"/>
    </row>
    <row r="200" spans="2:18" ht="110.4" x14ac:dyDescent="0.25">
      <c r="B200" s="51">
        <f>IF(F200&lt;&gt;"",1+MAX($B$22:B199),"")</f>
        <v>95</v>
      </c>
      <c r="C200" s="75"/>
      <c r="D200" s="10" t="s">
        <v>374</v>
      </c>
      <c r="E200" s="25" t="s">
        <v>86</v>
      </c>
      <c r="F200" s="41">
        <f>18.25</f>
        <v>18.25</v>
      </c>
      <c r="G200" s="19">
        <v>325</v>
      </c>
      <c r="H200" s="19">
        <f t="shared" si="59"/>
        <v>330.85</v>
      </c>
      <c r="I200" s="19">
        <f t="shared" si="58"/>
        <v>6038.0125000000007</v>
      </c>
      <c r="J200" s="17">
        <v>0.64900000000000002</v>
      </c>
      <c r="K200" s="12">
        <f t="shared" si="60"/>
        <v>11.844250000000001</v>
      </c>
      <c r="L200" s="97" t="s">
        <v>632</v>
      </c>
      <c r="M200" s="98">
        <v>53.15</v>
      </c>
      <c r="N200" s="19">
        <f t="shared" si="61"/>
        <v>44.220799999999997</v>
      </c>
      <c r="O200" s="19">
        <f t="shared" si="62"/>
        <v>28.699299199999999</v>
      </c>
      <c r="P200" s="19">
        <f t="shared" si="57"/>
        <v>523.76221039999996</v>
      </c>
      <c r="Q200" s="19">
        <f t="shared" si="63"/>
        <v>6561.7747104000009</v>
      </c>
      <c r="R200" s="52"/>
    </row>
    <row r="201" spans="2:18" ht="96.6" x14ac:dyDescent="0.25">
      <c r="B201" s="51">
        <f>IF(F201&lt;&gt;"",1+MAX($B$22:B200),"")</f>
        <v>96</v>
      </c>
      <c r="C201" s="75"/>
      <c r="D201" s="10" t="s">
        <v>375</v>
      </c>
      <c r="E201" s="25" t="s">
        <v>86</v>
      </c>
      <c r="F201" s="41">
        <f>7.28</f>
        <v>7.28</v>
      </c>
      <c r="G201" s="19">
        <v>325</v>
      </c>
      <c r="H201" s="19">
        <f t="shared" si="59"/>
        <v>330.85</v>
      </c>
      <c r="I201" s="19">
        <f t="shared" si="58"/>
        <v>2408.5880000000002</v>
      </c>
      <c r="J201" s="17">
        <v>0.64900000000000002</v>
      </c>
      <c r="K201" s="12">
        <f t="shared" si="60"/>
        <v>4.7247200000000005</v>
      </c>
      <c r="L201" s="97" t="s">
        <v>632</v>
      </c>
      <c r="M201" s="98">
        <v>53.15</v>
      </c>
      <c r="N201" s="19">
        <f t="shared" si="61"/>
        <v>44.220799999999997</v>
      </c>
      <c r="O201" s="19">
        <f t="shared" si="62"/>
        <v>28.699299199999999</v>
      </c>
      <c r="P201" s="19">
        <f t="shared" si="57"/>
        <v>208.930898176</v>
      </c>
      <c r="Q201" s="19">
        <f t="shared" si="63"/>
        <v>2617.5188981760002</v>
      </c>
      <c r="R201" s="52"/>
    </row>
    <row r="202" spans="2:18" ht="96.6" x14ac:dyDescent="0.25">
      <c r="B202" s="51">
        <f>IF(F202&lt;&gt;"",1+MAX($B$22:B201),"")</f>
        <v>97</v>
      </c>
      <c r="C202" s="75"/>
      <c r="D202" s="10" t="s">
        <v>376</v>
      </c>
      <c r="E202" s="25" t="s">
        <v>86</v>
      </c>
      <c r="F202" s="41">
        <f>16.32</f>
        <v>16.32</v>
      </c>
      <c r="G202" s="19">
        <v>325</v>
      </c>
      <c r="H202" s="19">
        <f t="shared" si="59"/>
        <v>330.85</v>
      </c>
      <c r="I202" s="19">
        <f t="shared" si="58"/>
        <v>5399.4720000000007</v>
      </c>
      <c r="J202" s="17">
        <v>0.64900000000000002</v>
      </c>
      <c r="K202" s="12">
        <f t="shared" si="60"/>
        <v>10.59168</v>
      </c>
      <c r="L202" s="97" t="s">
        <v>632</v>
      </c>
      <c r="M202" s="98">
        <v>53.15</v>
      </c>
      <c r="N202" s="19">
        <f t="shared" si="61"/>
        <v>44.220799999999997</v>
      </c>
      <c r="O202" s="19">
        <f t="shared" si="62"/>
        <v>28.699299199999999</v>
      </c>
      <c r="P202" s="19">
        <f t="shared" si="57"/>
        <v>468.37256294399998</v>
      </c>
      <c r="Q202" s="19">
        <f t="shared" si="63"/>
        <v>5867.8445629440002</v>
      </c>
      <c r="R202" s="52"/>
    </row>
    <row r="203" spans="2:18" ht="82.8" x14ac:dyDescent="0.25">
      <c r="B203" s="51">
        <f>IF(F203&lt;&gt;"",1+MAX($B$22:B202),"")</f>
        <v>98</v>
      </c>
      <c r="C203" s="75"/>
      <c r="D203" s="10" t="s">
        <v>377</v>
      </c>
      <c r="E203" s="25" t="s">
        <v>86</v>
      </c>
      <c r="F203" s="41">
        <f>15</f>
        <v>15</v>
      </c>
      <c r="G203" s="19">
        <v>325</v>
      </c>
      <c r="H203" s="19">
        <f t="shared" si="59"/>
        <v>330.85</v>
      </c>
      <c r="I203" s="19">
        <f t="shared" si="58"/>
        <v>4962.75</v>
      </c>
      <c r="J203" s="17">
        <v>0.64900000000000002</v>
      </c>
      <c r="K203" s="12">
        <f t="shared" si="60"/>
        <v>9.7349999999999994</v>
      </c>
      <c r="L203" s="97" t="s">
        <v>632</v>
      </c>
      <c r="M203" s="98">
        <v>53.15</v>
      </c>
      <c r="N203" s="19">
        <f t="shared" si="61"/>
        <v>44.220799999999997</v>
      </c>
      <c r="O203" s="19">
        <f t="shared" si="62"/>
        <v>28.699299199999999</v>
      </c>
      <c r="P203" s="19">
        <f t="shared" si="57"/>
        <v>430.48948799999999</v>
      </c>
      <c r="Q203" s="19">
        <f t="shared" si="63"/>
        <v>5393.2394880000002</v>
      </c>
      <c r="R203" s="52"/>
    </row>
    <row r="204" spans="2:18" ht="82.8" x14ac:dyDescent="0.25">
      <c r="B204" s="51">
        <f>IF(F204&lt;&gt;"",1+MAX($B$22:B203),"")</f>
        <v>99</v>
      </c>
      <c r="C204" s="75"/>
      <c r="D204" s="10" t="s">
        <v>378</v>
      </c>
      <c r="E204" s="25" t="s">
        <v>86</v>
      </c>
      <c r="F204" s="41">
        <v>5</v>
      </c>
      <c r="G204" s="19">
        <v>325</v>
      </c>
      <c r="H204" s="19">
        <f t="shared" si="59"/>
        <v>330.85</v>
      </c>
      <c r="I204" s="19">
        <f t="shared" si="58"/>
        <v>1654.25</v>
      </c>
      <c r="J204" s="17">
        <v>0.64900000000000002</v>
      </c>
      <c r="K204" s="12">
        <f t="shared" si="60"/>
        <v>3.2450000000000001</v>
      </c>
      <c r="L204" s="97" t="s">
        <v>632</v>
      </c>
      <c r="M204" s="98">
        <v>53.15</v>
      </c>
      <c r="N204" s="19">
        <f t="shared" si="61"/>
        <v>44.220799999999997</v>
      </c>
      <c r="O204" s="19">
        <f t="shared" si="62"/>
        <v>28.699299199999999</v>
      </c>
      <c r="P204" s="19">
        <f t="shared" si="57"/>
        <v>143.49649599999998</v>
      </c>
      <c r="Q204" s="19">
        <f t="shared" si="63"/>
        <v>1797.746496</v>
      </c>
      <c r="R204" s="52"/>
    </row>
    <row r="205" spans="2:18" x14ac:dyDescent="0.25">
      <c r="B205" s="51" t="str">
        <f>IF(F205&lt;&gt;"",1+MAX($B$22:B204),"")</f>
        <v/>
      </c>
      <c r="C205" s="75"/>
      <c r="D205" s="10"/>
      <c r="E205" s="25"/>
      <c r="F205" s="41"/>
      <c r="G205" s="19"/>
      <c r="H205" s="19">
        <f t="shared" si="59"/>
        <v>0</v>
      </c>
      <c r="I205" s="19">
        <f t="shared" si="58"/>
        <v>0</v>
      </c>
      <c r="J205" s="17"/>
      <c r="K205" s="12">
        <f t="shared" si="60"/>
        <v>0</v>
      </c>
      <c r="L205" s="12"/>
      <c r="M205" s="19"/>
      <c r="N205" s="19">
        <f t="shared" si="61"/>
        <v>0</v>
      </c>
      <c r="O205" s="19">
        <f t="shared" si="62"/>
        <v>0</v>
      </c>
      <c r="P205" s="19">
        <f t="shared" si="57"/>
        <v>0</v>
      </c>
      <c r="Q205" s="19">
        <f t="shared" si="63"/>
        <v>0</v>
      </c>
      <c r="R205" s="52"/>
    </row>
    <row r="206" spans="2:18" x14ac:dyDescent="0.25">
      <c r="B206" s="51" t="str">
        <f>IF(F206&lt;&gt;"",1+MAX($B$22:B205),"")</f>
        <v/>
      </c>
      <c r="C206" s="75"/>
      <c r="D206" s="53" t="s">
        <v>379</v>
      </c>
      <c r="E206" s="25"/>
      <c r="F206" s="41"/>
      <c r="G206" s="19"/>
      <c r="H206" s="19">
        <f t="shared" si="59"/>
        <v>0</v>
      </c>
      <c r="I206" s="19">
        <f t="shared" si="58"/>
        <v>0</v>
      </c>
      <c r="J206" s="17"/>
      <c r="K206" s="12">
        <f t="shared" si="60"/>
        <v>0</v>
      </c>
      <c r="L206" s="12"/>
      <c r="M206" s="19"/>
      <c r="N206" s="19">
        <f t="shared" si="61"/>
        <v>0</v>
      </c>
      <c r="O206" s="19">
        <f t="shared" si="62"/>
        <v>0</v>
      </c>
      <c r="P206" s="19">
        <f t="shared" si="57"/>
        <v>0</v>
      </c>
      <c r="Q206" s="19">
        <f t="shared" si="63"/>
        <v>0</v>
      </c>
      <c r="R206" s="52"/>
    </row>
    <row r="207" spans="2:18" ht="55.2" x14ac:dyDescent="0.25">
      <c r="B207" s="51">
        <f>IF(F207&lt;&gt;"",1+MAX($B$22:B206),"")</f>
        <v>100</v>
      </c>
      <c r="C207" s="75"/>
      <c r="D207" s="10" t="s">
        <v>380</v>
      </c>
      <c r="E207" s="25" t="s">
        <v>86</v>
      </c>
      <c r="F207" s="41">
        <f>26.83</f>
        <v>26.83</v>
      </c>
      <c r="G207" s="19">
        <v>5.15</v>
      </c>
      <c r="H207" s="19">
        <f t="shared" si="59"/>
        <v>5.2427000000000001</v>
      </c>
      <c r="I207" s="19">
        <f t="shared" si="58"/>
        <v>140.661641</v>
      </c>
      <c r="J207" s="17">
        <v>3.2000000000000001E-2</v>
      </c>
      <c r="K207" s="12">
        <f t="shared" si="60"/>
        <v>0.85855999999999999</v>
      </c>
      <c r="L207" s="97" t="s">
        <v>629</v>
      </c>
      <c r="M207" s="98">
        <v>53.15</v>
      </c>
      <c r="N207" s="19">
        <f t="shared" si="61"/>
        <v>44.220799999999997</v>
      </c>
      <c r="O207" s="19">
        <f t="shared" si="62"/>
        <v>1.4150655999999999</v>
      </c>
      <c r="P207" s="19">
        <f t="shared" si="57"/>
        <v>37.966210047999994</v>
      </c>
      <c r="Q207" s="19">
        <f t="shared" si="63"/>
        <v>178.627851048</v>
      </c>
      <c r="R207" s="52"/>
    </row>
    <row r="208" spans="2:18" x14ac:dyDescent="0.25">
      <c r="B208" s="51" t="str">
        <f>IF(F208&lt;&gt;"",1+MAX($B$22:B207),"")</f>
        <v/>
      </c>
      <c r="C208" s="75"/>
      <c r="D208" s="10"/>
      <c r="E208" s="25"/>
      <c r="F208" s="41"/>
      <c r="G208" s="19"/>
      <c r="H208" s="19">
        <f t="shared" si="59"/>
        <v>0</v>
      </c>
      <c r="I208" s="19">
        <f t="shared" si="58"/>
        <v>0</v>
      </c>
      <c r="J208" s="17"/>
      <c r="K208" s="12">
        <f t="shared" si="60"/>
        <v>0</v>
      </c>
      <c r="L208" s="12"/>
      <c r="M208" s="19"/>
      <c r="N208" s="19">
        <f t="shared" si="61"/>
        <v>0</v>
      </c>
      <c r="O208" s="19">
        <f t="shared" si="62"/>
        <v>0</v>
      </c>
      <c r="P208" s="19">
        <f t="shared" si="57"/>
        <v>0</v>
      </c>
      <c r="Q208" s="19">
        <f t="shared" si="63"/>
        <v>0</v>
      </c>
      <c r="R208" s="52"/>
    </row>
    <row r="209" spans="2:18" x14ac:dyDescent="0.25">
      <c r="B209" s="51" t="str">
        <f>IF(F209&lt;&gt;"",1+MAX($B$22:B208),"")</f>
        <v/>
      </c>
      <c r="C209" s="75"/>
      <c r="D209" s="53" t="s">
        <v>381</v>
      </c>
      <c r="E209" s="25"/>
      <c r="F209" s="41"/>
      <c r="G209" s="19"/>
      <c r="H209" s="19">
        <f t="shared" si="59"/>
        <v>0</v>
      </c>
      <c r="I209" s="19">
        <f t="shared" si="58"/>
        <v>0</v>
      </c>
      <c r="J209" s="17"/>
      <c r="K209" s="12">
        <f t="shared" si="60"/>
        <v>0</v>
      </c>
      <c r="L209" s="12"/>
      <c r="M209" s="19"/>
      <c r="N209" s="19">
        <f t="shared" si="61"/>
        <v>0</v>
      </c>
      <c r="O209" s="19">
        <f t="shared" si="62"/>
        <v>0</v>
      </c>
      <c r="P209" s="19">
        <f t="shared" si="57"/>
        <v>0</v>
      </c>
      <c r="Q209" s="19">
        <f t="shared" si="63"/>
        <v>0</v>
      </c>
      <c r="R209" s="52"/>
    </row>
    <row r="210" spans="2:18" x14ac:dyDescent="0.25">
      <c r="B210" s="51">
        <f>IF(F210&lt;&gt;"",1+MAX($B$22:B209),"")</f>
        <v>101</v>
      </c>
      <c r="C210" s="75"/>
      <c r="D210" s="10" t="s">
        <v>382</v>
      </c>
      <c r="E210" s="25" t="s">
        <v>86</v>
      </c>
      <c r="F210" s="41">
        <f>3.17</f>
        <v>3.17</v>
      </c>
      <c r="G210" s="19">
        <v>270.00099999999998</v>
      </c>
      <c r="H210" s="19">
        <f t="shared" si="59"/>
        <v>274.861018</v>
      </c>
      <c r="I210" s="19">
        <f t="shared" si="58"/>
        <v>871.30942705999996</v>
      </c>
      <c r="J210" s="17">
        <v>2.8940000000000001</v>
      </c>
      <c r="K210" s="12">
        <f t="shared" si="60"/>
        <v>9.1739800000000002</v>
      </c>
      <c r="L210" s="97" t="s">
        <v>629</v>
      </c>
      <c r="M210" s="98">
        <v>53.15</v>
      </c>
      <c r="N210" s="19">
        <f t="shared" si="61"/>
        <v>44.220799999999997</v>
      </c>
      <c r="O210" s="19">
        <f t="shared" si="62"/>
        <v>127.9749952</v>
      </c>
      <c r="P210" s="19">
        <f t="shared" si="57"/>
        <v>405.68073478399998</v>
      </c>
      <c r="Q210" s="19">
        <f t="shared" si="63"/>
        <v>1276.9901618439999</v>
      </c>
      <c r="R210" s="52"/>
    </row>
    <row r="211" spans="2:18" ht="82.8" x14ac:dyDescent="0.25">
      <c r="B211" s="51">
        <f>IF(F211&lt;&gt;"",1+MAX($B$22:B210),"")</f>
        <v>102</v>
      </c>
      <c r="C211" s="55"/>
      <c r="D211" s="10" t="s">
        <v>383</v>
      </c>
      <c r="E211" s="25" t="s">
        <v>86</v>
      </c>
      <c r="F211" s="41">
        <f>16.09</f>
        <v>16.09</v>
      </c>
      <c r="G211" s="19">
        <v>229.999</v>
      </c>
      <c r="H211" s="19">
        <f t="shared" si="59"/>
        <v>234.138982</v>
      </c>
      <c r="I211" s="19">
        <f t="shared" si="58"/>
        <v>3767.2962203799998</v>
      </c>
      <c r="J211" s="17">
        <v>2.75</v>
      </c>
      <c r="K211" s="12">
        <f t="shared" si="60"/>
        <v>44.247500000000002</v>
      </c>
      <c r="L211" s="97" t="s">
        <v>629</v>
      </c>
      <c r="M211" s="98">
        <v>53.15</v>
      </c>
      <c r="N211" s="19">
        <f t="shared" si="61"/>
        <v>44.220799999999997</v>
      </c>
      <c r="O211" s="19">
        <f t="shared" si="62"/>
        <v>121.60719999999999</v>
      </c>
      <c r="P211" s="19">
        <f t="shared" si="57"/>
        <v>1956.6598479999998</v>
      </c>
      <c r="Q211" s="19">
        <f t="shared" si="63"/>
        <v>5723.9560683799991</v>
      </c>
      <c r="R211" s="52"/>
    </row>
    <row r="212" spans="2:18" ht="82.8" x14ac:dyDescent="0.25">
      <c r="B212" s="51">
        <f>IF(F212&lt;&gt;"",1+MAX($B$22:B211),"")</f>
        <v>103</v>
      </c>
      <c r="C212" s="55"/>
      <c r="D212" s="10" t="s">
        <v>384</v>
      </c>
      <c r="E212" s="25" t="s">
        <v>86</v>
      </c>
      <c r="F212" s="41">
        <f>5.75</f>
        <v>5.75</v>
      </c>
      <c r="G212" s="19">
        <v>310.00299999999999</v>
      </c>
      <c r="H212" s="19">
        <f t="shared" si="59"/>
        <v>315.583054</v>
      </c>
      <c r="I212" s="19">
        <f t="shared" ref="I212" si="65">F212*H212</f>
        <v>1814.6025605</v>
      </c>
      <c r="J212" s="17">
        <v>3.0380000000000003</v>
      </c>
      <c r="K212" s="12">
        <f t="shared" si="60"/>
        <v>17.468500000000002</v>
      </c>
      <c r="L212" s="97" t="s">
        <v>629</v>
      </c>
      <c r="M212" s="98">
        <v>53.15</v>
      </c>
      <c r="N212" s="19">
        <f t="shared" si="61"/>
        <v>44.220799999999997</v>
      </c>
      <c r="O212" s="19">
        <f t="shared" si="62"/>
        <v>134.34279040000001</v>
      </c>
      <c r="P212" s="19">
        <f t="shared" ref="P212:P240" si="66">F212*O212</f>
        <v>772.47104480000007</v>
      </c>
      <c r="Q212" s="19">
        <f t="shared" si="63"/>
        <v>2587.0736053000001</v>
      </c>
      <c r="R212" s="52"/>
    </row>
    <row r="213" spans="2:18" x14ac:dyDescent="0.25">
      <c r="B213" s="51" t="str">
        <f>IF(F213&lt;&gt;"",1+MAX($B$22:B212),"")</f>
        <v/>
      </c>
      <c r="C213" s="75"/>
      <c r="D213" s="10"/>
      <c r="E213" s="25"/>
      <c r="F213" s="41"/>
      <c r="G213" s="19"/>
      <c r="H213" s="19">
        <f t="shared" si="59"/>
        <v>0</v>
      </c>
      <c r="I213" s="19">
        <f t="shared" ref="I213:I240" si="67">F213*H213</f>
        <v>0</v>
      </c>
      <c r="J213" s="17"/>
      <c r="K213" s="12">
        <f t="shared" si="60"/>
        <v>0</v>
      </c>
      <c r="L213" s="12"/>
      <c r="M213" s="19"/>
      <c r="N213" s="19">
        <f t="shared" si="61"/>
        <v>0</v>
      </c>
      <c r="O213" s="19">
        <f t="shared" si="62"/>
        <v>0</v>
      </c>
      <c r="P213" s="19">
        <f t="shared" si="66"/>
        <v>0</v>
      </c>
      <c r="Q213" s="19">
        <f t="shared" si="63"/>
        <v>0</v>
      </c>
      <c r="R213" s="52"/>
    </row>
    <row r="214" spans="2:18" x14ac:dyDescent="0.25">
      <c r="B214" s="51" t="str">
        <f>IF(F214&lt;&gt;"",1+MAX($B$22:B213),"")</f>
        <v/>
      </c>
      <c r="C214" s="75"/>
      <c r="D214" s="53" t="s">
        <v>385</v>
      </c>
      <c r="E214" s="25"/>
      <c r="F214" s="41"/>
      <c r="G214" s="19"/>
      <c r="H214" s="19">
        <f t="shared" si="59"/>
        <v>0</v>
      </c>
      <c r="I214" s="19">
        <f t="shared" si="67"/>
        <v>0</v>
      </c>
      <c r="J214" s="17"/>
      <c r="K214" s="12">
        <f t="shared" si="60"/>
        <v>0</v>
      </c>
      <c r="L214" s="12"/>
      <c r="M214" s="19"/>
      <c r="N214" s="19">
        <f t="shared" si="61"/>
        <v>0</v>
      </c>
      <c r="O214" s="19">
        <f t="shared" si="62"/>
        <v>0</v>
      </c>
      <c r="P214" s="19">
        <f t="shared" si="66"/>
        <v>0</v>
      </c>
      <c r="Q214" s="19">
        <f t="shared" si="63"/>
        <v>0</v>
      </c>
      <c r="R214" s="52"/>
    </row>
    <row r="215" spans="2:18" ht="124.2" x14ac:dyDescent="0.25">
      <c r="B215" s="51">
        <f>IF(F215&lt;&gt;"",1+MAX($B$22:B214),"")</f>
        <v>104</v>
      </c>
      <c r="C215" s="75"/>
      <c r="D215" s="10" t="s">
        <v>386</v>
      </c>
      <c r="E215" s="25" t="s">
        <v>86</v>
      </c>
      <c r="F215" s="41">
        <f>18</f>
        <v>18</v>
      </c>
      <c r="G215" s="19">
        <v>55</v>
      </c>
      <c r="H215" s="19">
        <f t="shared" si="59"/>
        <v>55.99</v>
      </c>
      <c r="I215" s="19">
        <f t="shared" si="67"/>
        <v>1007.82</v>
      </c>
      <c r="J215" s="17">
        <v>0.125</v>
      </c>
      <c r="K215" s="12">
        <f t="shared" si="60"/>
        <v>2.25</v>
      </c>
      <c r="L215" s="97" t="s">
        <v>629</v>
      </c>
      <c r="M215" s="98">
        <v>53.15</v>
      </c>
      <c r="N215" s="19">
        <f t="shared" si="61"/>
        <v>44.220799999999997</v>
      </c>
      <c r="O215" s="19">
        <f t="shared" si="62"/>
        <v>5.5275999999999996</v>
      </c>
      <c r="P215" s="19">
        <f t="shared" si="66"/>
        <v>99.496799999999993</v>
      </c>
      <c r="Q215" s="19">
        <f t="shared" si="63"/>
        <v>1107.3168000000001</v>
      </c>
      <c r="R215" s="52"/>
    </row>
    <row r="216" spans="2:18" x14ac:dyDescent="0.25">
      <c r="B216" s="51" t="str">
        <f>IF(F216&lt;&gt;"",1+MAX($B$22:B215),"")</f>
        <v/>
      </c>
      <c r="C216" s="75"/>
      <c r="D216" s="10"/>
      <c r="E216" s="25"/>
      <c r="F216" s="41"/>
      <c r="G216" s="19"/>
      <c r="H216" s="19">
        <f t="shared" si="59"/>
        <v>0</v>
      </c>
      <c r="I216" s="19">
        <f t="shared" si="67"/>
        <v>0</v>
      </c>
      <c r="J216" s="17"/>
      <c r="K216" s="12">
        <f t="shared" si="60"/>
        <v>0</v>
      </c>
      <c r="L216" s="12"/>
      <c r="M216" s="19"/>
      <c r="N216" s="19">
        <f t="shared" si="61"/>
        <v>0</v>
      </c>
      <c r="O216" s="19">
        <f t="shared" si="62"/>
        <v>0</v>
      </c>
      <c r="P216" s="19">
        <f t="shared" si="66"/>
        <v>0</v>
      </c>
      <c r="Q216" s="19">
        <f t="shared" si="63"/>
        <v>0</v>
      </c>
      <c r="R216" s="52"/>
    </row>
    <row r="217" spans="2:18" x14ac:dyDescent="0.25">
      <c r="B217" s="51" t="str">
        <f>IF(F217&lt;&gt;"",1+MAX($B$22:B216),"")</f>
        <v/>
      </c>
      <c r="C217" s="75"/>
      <c r="D217" s="53" t="s">
        <v>387</v>
      </c>
      <c r="E217" s="25"/>
      <c r="F217" s="41"/>
      <c r="G217" s="19"/>
      <c r="H217" s="19">
        <f t="shared" si="59"/>
        <v>0</v>
      </c>
      <c r="I217" s="19">
        <f t="shared" si="67"/>
        <v>0</v>
      </c>
      <c r="J217" s="17"/>
      <c r="K217" s="12">
        <f t="shared" si="60"/>
        <v>0</v>
      </c>
      <c r="L217" s="12"/>
      <c r="M217" s="19"/>
      <c r="N217" s="19">
        <f t="shared" si="61"/>
        <v>0</v>
      </c>
      <c r="O217" s="19">
        <f t="shared" si="62"/>
        <v>0</v>
      </c>
      <c r="P217" s="19">
        <f t="shared" si="66"/>
        <v>0</v>
      </c>
      <c r="Q217" s="19">
        <f t="shared" si="63"/>
        <v>0</v>
      </c>
      <c r="R217" s="52"/>
    </row>
    <row r="218" spans="2:18" ht="165.6" x14ac:dyDescent="0.25">
      <c r="B218" s="51">
        <f>IF(F218&lt;&gt;"",1+MAX($B$22:B217),"")</f>
        <v>105</v>
      </c>
      <c r="C218" s="75"/>
      <c r="D218" s="10" t="s">
        <v>388</v>
      </c>
      <c r="E218" s="25" t="s">
        <v>90</v>
      </c>
      <c r="F218" s="41">
        <f>1</f>
        <v>1</v>
      </c>
      <c r="G218" s="94"/>
      <c r="H218" s="19">
        <v>1937</v>
      </c>
      <c r="I218" s="19">
        <f t="shared" si="67"/>
        <v>1937</v>
      </c>
      <c r="J218" s="17">
        <v>3.726</v>
      </c>
      <c r="K218" s="12">
        <f t="shared" si="60"/>
        <v>3.726</v>
      </c>
      <c r="L218" s="97" t="s">
        <v>632</v>
      </c>
      <c r="M218" s="98">
        <v>53.15</v>
      </c>
      <c r="N218" s="19">
        <f t="shared" si="61"/>
        <v>44.220799999999997</v>
      </c>
      <c r="O218" s="19">
        <f t="shared" si="62"/>
        <v>164.7667008</v>
      </c>
      <c r="P218" s="19">
        <f t="shared" si="66"/>
        <v>164.7667008</v>
      </c>
      <c r="Q218" s="19">
        <f t="shared" si="63"/>
        <v>2101.7667007999999</v>
      </c>
      <c r="R218" s="52"/>
    </row>
    <row r="219" spans="2:18" ht="124.2" x14ac:dyDescent="0.25">
      <c r="B219" s="51">
        <f>IF(F219&lt;&gt;"",1+MAX($B$22:B218),"")</f>
        <v>106</v>
      </c>
      <c r="C219" s="75"/>
      <c r="D219" s="10" t="s">
        <v>389</v>
      </c>
      <c r="E219" s="25" t="s">
        <v>90</v>
      </c>
      <c r="F219" s="41">
        <v>1</v>
      </c>
      <c r="G219" s="94"/>
      <c r="H219" s="19">
        <v>304</v>
      </c>
      <c r="I219" s="19">
        <f t="shared" si="67"/>
        <v>304</v>
      </c>
      <c r="J219" s="17">
        <v>1.1859999999999999</v>
      </c>
      <c r="K219" s="12">
        <f t="shared" ref="K219:K222" si="68">F219*J219</f>
        <v>1.1859999999999999</v>
      </c>
      <c r="L219" s="97" t="s">
        <v>632</v>
      </c>
      <c r="M219" s="98">
        <v>53.15</v>
      </c>
      <c r="N219" s="19">
        <f t="shared" si="61"/>
        <v>44.220799999999997</v>
      </c>
      <c r="O219" s="19">
        <f t="shared" ref="O219:O222" si="69">J219*N219</f>
        <v>52.445868799999992</v>
      </c>
      <c r="P219" s="19">
        <f t="shared" ref="P219:P222" si="70">F219*O219</f>
        <v>52.445868799999992</v>
      </c>
      <c r="Q219" s="19">
        <f t="shared" si="63"/>
        <v>356.44586879999997</v>
      </c>
      <c r="R219" s="52"/>
    </row>
    <row r="220" spans="2:18" ht="124.2" x14ac:dyDescent="0.25">
      <c r="B220" s="51">
        <f>IF(F220&lt;&gt;"",1+MAX($B$22:B219),"")</f>
        <v>107</v>
      </c>
      <c r="C220" s="75"/>
      <c r="D220" s="10" t="s">
        <v>390</v>
      </c>
      <c r="E220" s="25" t="s">
        <v>90</v>
      </c>
      <c r="F220" s="41">
        <f>1</f>
        <v>1</v>
      </c>
      <c r="G220" s="94"/>
      <c r="H220" s="19">
        <v>125</v>
      </c>
      <c r="I220" s="19">
        <f t="shared" si="67"/>
        <v>125</v>
      </c>
      <c r="J220" s="17">
        <v>1.0622499999999999</v>
      </c>
      <c r="K220" s="12">
        <f t="shared" si="68"/>
        <v>1.0622499999999999</v>
      </c>
      <c r="L220" s="97" t="s">
        <v>632</v>
      </c>
      <c r="M220" s="98">
        <v>53.15</v>
      </c>
      <c r="N220" s="19">
        <f t="shared" si="61"/>
        <v>44.220799999999997</v>
      </c>
      <c r="O220" s="19">
        <f t="shared" si="69"/>
        <v>46.973544799999992</v>
      </c>
      <c r="P220" s="19">
        <f t="shared" si="70"/>
        <v>46.973544799999992</v>
      </c>
      <c r="Q220" s="19">
        <f t="shared" si="63"/>
        <v>171.97354479999998</v>
      </c>
      <c r="R220" s="52"/>
    </row>
    <row r="221" spans="2:18" ht="124.2" x14ac:dyDescent="0.25">
      <c r="B221" s="51">
        <f>IF(F221&lt;&gt;"",1+MAX($B$22:B220),"")</f>
        <v>108</v>
      </c>
      <c r="C221" s="75"/>
      <c r="D221" s="10" t="s">
        <v>391</v>
      </c>
      <c r="E221" s="25" t="s">
        <v>90</v>
      </c>
      <c r="F221" s="41">
        <f>1</f>
        <v>1</v>
      </c>
      <c r="G221" s="94"/>
      <c r="H221" s="19">
        <v>854</v>
      </c>
      <c r="I221" s="19">
        <f t="shared" si="67"/>
        <v>854</v>
      </c>
      <c r="J221" s="17">
        <v>2.2040000000000002</v>
      </c>
      <c r="K221" s="12">
        <f t="shared" si="68"/>
        <v>2.2040000000000002</v>
      </c>
      <c r="L221" s="97" t="s">
        <v>632</v>
      </c>
      <c r="M221" s="98">
        <v>53.15</v>
      </c>
      <c r="N221" s="19">
        <f t="shared" si="61"/>
        <v>44.220799999999997</v>
      </c>
      <c r="O221" s="19">
        <f t="shared" si="69"/>
        <v>97.462643200000002</v>
      </c>
      <c r="P221" s="19">
        <f t="shared" si="70"/>
        <v>97.462643200000002</v>
      </c>
      <c r="Q221" s="19">
        <f t="shared" si="63"/>
        <v>951.4626432</v>
      </c>
      <c r="R221" s="52"/>
    </row>
    <row r="222" spans="2:18" ht="124.2" x14ac:dyDescent="0.25">
      <c r="B222" s="51">
        <f>IF(F222&lt;&gt;"",1+MAX($B$22:B221),"")</f>
        <v>109</v>
      </c>
      <c r="C222" s="75"/>
      <c r="D222" s="10" t="s">
        <v>392</v>
      </c>
      <c r="E222" s="25" t="s">
        <v>90</v>
      </c>
      <c r="F222" s="41">
        <f>2</f>
        <v>2</v>
      </c>
      <c r="G222" s="94"/>
      <c r="H222" s="19">
        <v>834</v>
      </c>
      <c r="I222" s="19">
        <f t="shared" si="67"/>
        <v>1668</v>
      </c>
      <c r="J222" s="17">
        <v>2.2040000000000002</v>
      </c>
      <c r="K222" s="12">
        <f t="shared" si="68"/>
        <v>4.4080000000000004</v>
      </c>
      <c r="L222" s="97" t="s">
        <v>632</v>
      </c>
      <c r="M222" s="98">
        <v>53.15</v>
      </c>
      <c r="N222" s="19">
        <f t="shared" si="61"/>
        <v>44.220799999999997</v>
      </c>
      <c r="O222" s="19">
        <f t="shared" si="69"/>
        <v>97.462643200000002</v>
      </c>
      <c r="P222" s="19">
        <f t="shared" si="70"/>
        <v>194.9252864</v>
      </c>
      <c r="Q222" s="19">
        <f t="shared" si="63"/>
        <v>1862.9252864</v>
      </c>
      <c r="R222" s="52"/>
    </row>
    <row r="223" spans="2:18" x14ac:dyDescent="0.25">
      <c r="B223" s="51" t="str">
        <f>IF(F223&lt;&gt;"",1+MAX($B$22:B222),"")</f>
        <v/>
      </c>
      <c r="C223" s="75"/>
      <c r="D223" s="10"/>
      <c r="E223" s="25"/>
      <c r="F223" s="41"/>
      <c r="G223" s="19"/>
      <c r="H223" s="19">
        <f t="shared" si="59"/>
        <v>0</v>
      </c>
      <c r="I223" s="19">
        <f t="shared" si="67"/>
        <v>0</v>
      </c>
      <c r="J223" s="17"/>
      <c r="K223" s="12">
        <f t="shared" si="60"/>
        <v>0</v>
      </c>
      <c r="L223" s="12"/>
      <c r="M223" s="19"/>
      <c r="N223" s="19">
        <f t="shared" si="61"/>
        <v>0</v>
      </c>
      <c r="O223" s="19">
        <f t="shared" si="62"/>
        <v>0</v>
      </c>
      <c r="P223" s="19">
        <f t="shared" si="66"/>
        <v>0</v>
      </c>
      <c r="Q223" s="19">
        <f t="shared" si="63"/>
        <v>0</v>
      </c>
      <c r="R223" s="52"/>
    </row>
    <row r="224" spans="2:18" x14ac:dyDescent="0.25">
      <c r="B224" s="51" t="str">
        <f>IF(F224&lt;&gt;"",1+MAX($B$22:B223),"")</f>
        <v/>
      </c>
      <c r="C224" s="75"/>
      <c r="D224" s="53" t="s">
        <v>393</v>
      </c>
      <c r="E224" s="25"/>
      <c r="F224" s="41"/>
      <c r="G224" s="19"/>
      <c r="H224" s="19">
        <f t="shared" si="59"/>
        <v>0</v>
      </c>
      <c r="I224" s="19">
        <f t="shared" si="67"/>
        <v>0</v>
      </c>
      <c r="J224" s="17"/>
      <c r="K224" s="12">
        <f t="shared" si="60"/>
        <v>0</v>
      </c>
      <c r="L224" s="12"/>
      <c r="M224" s="19"/>
      <c r="N224" s="19">
        <f t="shared" si="61"/>
        <v>0</v>
      </c>
      <c r="O224" s="19">
        <f t="shared" si="62"/>
        <v>0</v>
      </c>
      <c r="P224" s="19">
        <f t="shared" si="66"/>
        <v>0</v>
      </c>
      <c r="Q224" s="19">
        <f t="shared" si="63"/>
        <v>0</v>
      </c>
      <c r="R224" s="52"/>
    </row>
    <row r="225" spans="2:18" ht="124.2" x14ac:dyDescent="0.25">
      <c r="B225" s="51">
        <f>IF(F225&lt;&gt;"",1+MAX($B$22:B224),"")</f>
        <v>110</v>
      </c>
      <c r="C225" s="75"/>
      <c r="D225" s="10" t="s">
        <v>386</v>
      </c>
      <c r="E225" s="25" t="s">
        <v>82</v>
      </c>
      <c r="F225" s="41">
        <f>4.26</f>
        <v>4.26</v>
      </c>
      <c r="G225" s="19">
        <v>2.34</v>
      </c>
      <c r="H225" s="19">
        <f t="shared" si="59"/>
        <v>2.38212</v>
      </c>
      <c r="I225" s="19">
        <f t="shared" si="67"/>
        <v>10.147831199999999</v>
      </c>
      <c r="J225" s="17">
        <v>2.3E-2</v>
      </c>
      <c r="K225" s="12">
        <f t="shared" si="60"/>
        <v>9.7979999999999998E-2</v>
      </c>
      <c r="L225" s="97" t="s">
        <v>640</v>
      </c>
      <c r="M225" s="98">
        <v>46.88</v>
      </c>
      <c r="N225" s="19">
        <f t="shared" si="61"/>
        <v>39.004159999999999</v>
      </c>
      <c r="O225" s="19">
        <f t="shared" si="62"/>
        <v>0.89709567999999995</v>
      </c>
      <c r="P225" s="19">
        <f t="shared" si="66"/>
        <v>3.8216275967999995</v>
      </c>
      <c r="Q225" s="19">
        <f t="shared" si="63"/>
        <v>13.969458796799998</v>
      </c>
      <c r="R225" s="52"/>
    </row>
    <row r="226" spans="2:18" ht="96.6" x14ac:dyDescent="0.25">
      <c r="B226" s="51">
        <f>IF(F226&lt;&gt;"",1+MAX($B$22:B225),"")</f>
        <v>111</v>
      </c>
      <c r="C226" s="75"/>
      <c r="D226" s="10" t="s">
        <v>394</v>
      </c>
      <c r="E226" s="25" t="s">
        <v>82</v>
      </c>
      <c r="F226" s="41">
        <f>3.24</f>
        <v>3.24</v>
      </c>
      <c r="G226" s="19">
        <v>1.8239999999999998</v>
      </c>
      <c r="H226" s="19">
        <f t="shared" si="59"/>
        <v>1.8568319999999998</v>
      </c>
      <c r="I226" s="19">
        <f t="shared" si="67"/>
        <v>6.0161356799999997</v>
      </c>
      <c r="J226" s="17">
        <v>1.9E-2</v>
      </c>
      <c r="K226" s="12">
        <f t="shared" si="60"/>
        <v>6.1560000000000004E-2</v>
      </c>
      <c r="L226" s="97" t="s">
        <v>640</v>
      </c>
      <c r="M226" s="98">
        <v>46.88</v>
      </c>
      <c r="N226" s="19">
        <f t="shared" si="61"/>
        <v>39.004159999999999</v>
      </c>
      <c r="O226" s="19">
        <f t="shared" si="62"/>
        <v>0.74107903999999991</v>
      </c>
      <c r="P226" s="19">
        <f t="shared" si="66"/>
        <v>2.4010960895999998</v>
      </c>
      <c r="Q226" s="19">
        <f t="shared" si="63"/>
        <v>8.417231769599999</v>
      </c>
      <c r="R226" s="52"/>
    </row>
    <row r="227" spans="2:18" ht="82.8" x14ac:dyDescent="0.25">
      <c r="B227" s="51">
        <f>IF(F227&lt;&gt;"",1+MAX($B$22:B226),"")</f>
        <v>112</v>
      </c>
      <c r="C227" s="55"/>
      <c r="D227" s="10" t="s">
        <v>395</v>
      </c>
      <c r="E227" s="25" t="s">
        <v>86</v>
      </c>
      <c r="F227" s="41">
        <f>15.83</f>
        <v>15.83</v>
      </c>
      <c r="G227" s="19">
        <v>5.05</v>
      </c>
      <c r="H227" s="19">
        <f t="shared" si="59"/>
        <v>5.1409000000000002</v>
      </c>
      <c r="I227" s="19">
        <f t="shared" si="67"/>
        <v>81.380447000000004</v>
      </c>
      <c r="J227" s="17">
        <v>7.5999999999999998E-2</v>
      </c>
      <c r="K227" s="12">
        <f t="shared" si="60"/>
        <v>1.2030799999999999</v>
      </c>
      <c r="L227" s="97" t="s">
        <v>629</v>
      </c>
      <c r="M227" s="98">
        <v>53.15</v>
      </c>
      <c r="N227" s="19">
        <f t="shared" si="61"/>
        <v>44.220799999999997</v>
      </c>
      <c r="O227" s="19">
        <f t="shared" si="62"/>
        <v>3.3607807999999997</v>
      </c>
      <c r="P227" s="19">
        <f t="shared" si="66"/>
        <v>53.201160063999993</v>
      </c>
      <c r="Q227" s="19">
        <f t="shared" si="63"/>
        <v>134.581607064</v>
      </c>
      <c r="R227" s="52"/>
    </row>
    <row r="228" spans="2:18" ht="151.80000000000001" x14ac:dyDescent="0.25">
      <c r="B228" s="51">
        <f>IF(F228&lt;&gt;"",1+MAX($B$22:B227),"")</f>
        <v>113</v>
      </c>
      <c r="C228" s="55"/>
      <c r="D228" s="10" t="s">
        <v>396</v>
      </c>
      <c r="E228" s="25" t="s">
        <v>86</v>
      </c>
      <c r="F228" s="41">
        <f>8</f>
        <v>8</v>
      </c>
      <c r="G228" s="94"/>
      <c r="H228" s="19">
        <v>138</v>
      </c>
      <c r="I228" s="19">
        <f t="shared" si="67"/>
        <v>1104</v>
      </c>
      <c r="J228" s="17">
        <v>7.5999999999999998E-2</v>
      </c>
      <c r="K228" s="12">
        <f t="shared" ref="K228" si="71">F228*J228</f>
        <v>0.60799999999999998</v>
      </c>
      <c r="L228" s="97" t="s">
        <v>629</v>
      </c>
      <c r="M228" s="98">
        <v>53.15</v>
      </c>
      <c r="N228" s="19">
        <f t="shared" si="61"/>
        <v>44.220799999999997</v>
      </c>
      <c r="O228" s="19">
        <f t="shared" ref="O228" si="72">J228*N228</f>
        <v>3.3607807999999997</v>
      </c>
      <c r="P228" s="19">
        <f t="shared" ref="P228" si="73">F228*O228</f>
        <v>26.886246399999997</v>
      </c>
      <c r="Q228" s="19">
        <f t="shared" si="63"/>
        <v>1130.8862463999999</v>
      </c>
      <c r="R228" s="52"/>
    </row>
    <row r="229" spans="2:18" ht="41.4" x14ac:dyDescent="0.25">
      <c r="B229" s="51">
        <f>IF(F229&lt;&gt;"",1+MAX($B$22:B228),"")</f>
        <v>114</v>
      </c>
      <c r="C229" s="55"/>
      <c r="D229" s="10" t="s">
        <v>397</v>
      </c>
      <c r="E229" s="25" t="s">
        <v>86</v>
      </c>
      <c r="F229" s="41">
        <f>1.5</f>
        <v>1.5</v>
      </c>
      <c r="G229" s="19">
        <v>65</v>
      </c>
      <c r="H229" s="19">
        <f t="shared" si="59"/>
        <v>66.17</v>
      </c>
      <c r="I229" s="19">
        <f t="shared" si="67"/>
        <v>99.254999999999995</v>
      </c>
      <c r="J229" s="17">
        <v>0.112</v>
      </c>
      <c r="K229" s="12">
        <f t="shared" si="60"/>
        <v>0.16800000000000001</v>
      </c>
      <c r="L229" s="97" t="s">
        <v>629</v>
      </c>
      <c r="M229" s="98">
        <v>53.15</v>
      </c>
      <c r="N229" s="19">
        <f t="shared" si="61"/>
        <v>44.220799999999997</v>
      </c>
      <c r="O229" s="19">
        <f t="shared" si="62"/>
        <v>4.9527295999999996</v>
      </c>
      <c r="P229" s="19">
        <f t="shared" si="66"/>
        <v>7.4290943999999994</v>
      </c>
      <c r="Q229" s="19">
        <f t="shared" si="63"/>
        <v>106.68409439999999</v>
      </c>
      <c r="R229" s="52"/>
    </row>
    <row r="230" spans="2:18" x14ac:dyDescent="0.25">
      <c r="B230" s="51" t="str">
        <f>IF(F230&lt;&gt;"",1+MAX($B$22:B229),"")</f>
        <v/>
      </c>
      <c r="C230" s="55"/>
      <c r="D230" s="10"/>
      <c r="E230" s="25"/>
      <c r="F230" s="41"/>
      <c r="G230" s="19"/>
      <c r="H230" s="19">
        <f t="shared" si="59"/>
        <v>0</v>
      </c>
      <c r="I230" s="19">
        <f t="shared" si="67"/>
        <v>0</v>
      </c>
      <c r="J230" s="17"/>
      <c r="K230" s="12">
        <f t="shared" si="60"/>
        <v>0</v>
      </c>
      <c r="L230" s="12"/>
      <c r="M230" s="19"/>
      <c r="N230" s="19">
        <f t="shared" si="61"/>
        <v>0</v>
      </c>
      <c r="O230" s="19">
        <f t="shared" si="62"/>
        <v>0</v>
      </c>
      <c r="P230" s="19">
        <f t="shared" si="66"/>
        <v>0</v>
      </c>
      <c r="Q230" s="19">
        <f t="shared" si="63"/>
        <v>0</v>
      </c>
      <c r="R230" s="52"/>
    </row>
    <row r="231" spans="2:18" x14ac:dyDescent="0.25">
      <c r="B231" s="51" t="str">
        <f>IF(F231&lt;&gt;"",1+MAX($B$22:B230),"")</f>
        <v/>
      </c>
      <c r="C231" s="55"/>
      <c r="D231" s="53" t="s">
        <v>398</v>
      </c>
      <c r="E231" s="25"/>
      <c r="F231" s="41"/>
      <c r="G231" s="19"/>
      <c r="H231" s="19">
        <f t="shared" si="59"/>
        <v>0</v>
      </c>
      <c r="I231" s="19">
        <f t="shared" si="67"/>
        <v>0</v>
      </c>
      <c r="J231" s="17"/>
      <c r="K231" s="12">
        <f t="shared" si="60"/>
        <v>0</v>
      </c>
      <c r="L231" s="12"/>
      <c r="M231" s="19"/>
      <c r="N231" s="19">
        <f t="shared" si="61"/>
        <v>0</v>
      </c>
      <c r="O231" s="19">
        <f t="shared" si="62"/>
        <v>0</v>
      </c>
      <c r="P231" s="19">
        <f t="shared" si="66"/>
        <v>0</v>
      </c>
      <c r="Q231" s="19">
        <f t="shared" si="63"/>
        <v>0</v>
      </c>
      <c r="R231" s="52"/>
    </row>
    <row r="232" spans="2:18" ht="96.6" x14ac:dyDescent="0.25">
      <c r="B232" s="51">
        <f>IF(F232&lt;&gt;"",1+MAX($B$22:B231),"")</f>
        <v>115</v>
      </c>
      <c r="C232" s="55"/>
      <c r="D232" s="10" t="s">
        <v>399</v>
      </c>
      <c r="E232" s="25" t="s">
        <v>90</v>
      </c>
      <c r="F232" s="41">
        <v>12</v>
      </c>
      <c r="G232" s="94"/>
      <c r="H232" s="19">
        <v>1.075</v>
      </c>
      <c r="I232" s="19">
        <f t="shared" si="67"/>
        <v>12.899999999999999</v>
      </c>
      <c r="J232" s="17">
        <v>0.02</v>
      </c>
      <c r="K232" s="12">
        <f t="shared" ref="K232:K240" si="74">F232*J232</f>
        <v>0.24</v>
      </c>
      <c r="L232" s="97" t="s">
        <v>629</v>
      </c>
      <c r="M232" s="98">
        <v>53.15</v>
      </c>
      <c r="N232" s="19">
        <f t="shared" ref="N232:N240" si="75">M232*$U$2</f>
        <v>44.220799999999997</v>
      </c>
      <c r="O232" s="19">
        <f t="shared" ref="O232:O240" si="76">J232*N232</f>
        <v>0.88441599999999998</v>
      </c>
      <c r="P232" s="19">
        <f t="shared" si="66"/>
        <v>10.612992</v>
      </c>
      <c r="Q232" s="19">
        <f t="shared" ref="Q232:Q240" si="77">I232+P232</f>
        <v>23.512991999999997</v>
      </c>
      <c r="R232" s="52"/>
    </row>
    <row r="233" spans="2:18" x14ac:dyDescent="0.25">
      <c r="B233" s="51" t="str">
        <f>IF(F233&lt;&gt;"",1+MAX($B$22:B232),"")</f>
        <v/>
      </c>
      <c r="C233" s="55"/>
      <c r="D233" s="10"/>
      <c r="E233" s="25"/>
      <c r="F233" s="41"/>
      <c r="G233" s="19"/>
      <c r="H233" s="19">
        <f t="shared" ref="H233:H240" si="78">G233*$T$2</f>
        <v>0</v>
      </c>
      <c r="I233" s="19">
        <f t="shared" si="67"/>
        <v>0</v>
      </c>
      <c r="J233" s="17"/>
      <c r="K233" s="12">
        <f t="shared" si="74"/>
        <v>0</v>
      </c>
      <c r="L233" s="12"/>
      <c r="M233" s="19"/>
      <c r="N233" s="19">
        <f t="shared" si="75"/>
        <v>0</v>
      </c>
      <c r="O233" s="19">
        <f t="shared" si="76"/>
        <v>0</v>
      </c>
      <c r="P233" s="19">
        <f t="shared" si="66"/>
        <v>0</v>
      </c>
      <c r="Q233" s="19">
        <f t="shared" si="77"/>
        <v>0</v>
      </c>
      <c r="R233" s="52"/>
    </row>
    <row r="234" spans="2:18" x14ac:dyDescent="0.25">
      <c r="B234" s="51" t="str">
        <f>IF(F234&lt;&gt;"",1+MAX($B$22:B233),"")</f>
        <v/>
      </c>
      <c r="C234" s="75"/>
      <c r="D234" s="53" t="s">
        <v>621</v>
      </c>
      <c r="E234" s="25"/>
      <c r="F234" s="41"/>
      <c r="G234" s="19"/>
      <c r="H234" s="19">
        <f t="shared" si="78"/>
        <v>0</v>
      </c>
      <c r="I234" s="19">
        <f t="shared" si="67"/>
        <v>0</v>
      </c>
      <c r="J234" s="17"/>
      <c r="K234" s="12">
        <f t="shared" si="74"/>
        <v>0</v>
      </c>
      <c r="L234" s="12"/>
      <c r="M234" s="19"/>
      <c r="N234" s="19">
        <f t="shared" si="75"/>
        <v>0</v>
      </c>
      <c r="O234" s="19">
        <f t="shared" si="76"/>
        <v>0</v>
      </c>
      <c r="P234" s="19">
        <f t="shared" si="66"/>
        <v>0</v>
      </c>
      <c r="Q234" s="19">
        <f t="shared" si="77"/>
        <v>0</v>
      </c>
      <c r="R234" s="52"/>
    </row>
    <row r="235" spans="2:18" ht="151.80000000000001" x14ac:dyDescent="0.25">
      <c r="B235" s="51">
        <f>IF(F235&lt;&gt;"",1+MAX($B$22:B234),"")</f>
        <v>116</v>
      </c>
      <c r="C235" s="55" t="s">
        <v>400</v>
      </c>
      <c r="D235" s="10" t="s">
        <v>401</v>
      </c>
      <c r="E235" s="25" t="s">
        <v>90</v>
      </c>
      <c r="F235" s="41">
        <f>1</f>
        <v>1</v>
      </c>
      <c r="G235" s="94"/>
      <c r="H235" s="19">
        <v>1297</v>
      </c>
      <c r="I235" s="19">
        <f t="shared" si="67"/>
        <v>1297</v>
      </c>
      <c r="J235" s="17">
        <v>1.25</v>
      </c>
      <c r="K235" s="12">
        <f t="shared" si="74"/>
        <v>1.25</v>
      </c>
      <c r="L235" s="97" t="s">
        <v>632</v>
      </c>
      <c r="M235" s="98">
        <v>53.15</v>
      </c>
      <c r="N235" s="19">
        <f t="shared" si="75"/>
        <v>44.220799999999997</v>
      </c>
      <c r="O235" s="19">
        <f t="shared" si="76"/>
        <v>55.275999999999996</v>
      </c>
      <c r="P235" s="19">
        <f t="shared" si="66"/>
        <v>55.275999999999996</v>
      </c>
      <c r="Q235" s="19">
        <f t="shared" si="77"/>
        <v>1352.2760000000001</v>
      </c>
      <c r="R235" s="52"/>
    </row>
    <row r="236" spans="2:18" x14ac:dyDescent="0.25">
      <c r="B236" s="51" t="str">
        <f>IF(F236&lt;&gt;"",1+MAX($B$22:B235),"")</f>
        <v/>
      </c>
      <c r="C236" s="55"/>
      <c r="D236" s="10"/>
      <c r="E236" s="25"/>
      <c r="F236" s="41"/>
      <c r="G236" s="19"/>
      <c r="H236" s="19">
        <f t="shared" si="78"/>
        <v>0</v>
      </c>
      <c r="I236" s="19">
        <f t="shared" si="67"/>
        <v>0</v>
      </c>
      <c r="J236" s="17"/>
      <c r="K236" s="12">
        <f t="shared" si="74"/>
        <v>0</v>
      </c>
      <c r="L236" s="12"/>
      <c r="M236" s="19"/>
      <c r="N236" s="19">
        <f t="shared" si="75"/>
        <v>0</v>
      </c>
      <c r="O236" s="19">
        <f t="shared" si="76"/>
        <v>0</v>
      </c>
      <c r="P236" s="19">
        <f t="shared" si="66"/>
        <v>0</v>
      </c>
      <c r="Q236" s="19">
        <f t="shared" si="77"/>
        <v>0</v>
      </c>
      <c r="R236" s="52"/>
    </row>
    <row r="237" spans="2:18" x14ac:dyDescent="0.25">
      <c r="B237" s="51" t="str">
        <f>IF(F237&lt;&gt;"",1+MAX($B$22:B236),"")</f>
        <v/>
      </c>
      <c r="C237" s="55"/>
      <c r="D237" s="53" t="s">
        <v>402</v>
      </c>
      <c r="E237" s="25"/>
      <c r="F237" s="41"/>
      <c r="G237" s="19"/>
      <c r="H237" s="19">
        <f t="shared" si="78"/>
        <v>0</v>
      </c>
      <c r="I237" s="19">
        <f t="shared" si="67"/>
        <v>0</v>
      </c>
      <c r="J237" s="17"/>
      <c r="K237" s="12">
        <f t="shared" si="74"/>
        <v>0</v>
      </c>
      <c r="L237" s="12"/>
      <c r="M237" s="19"/>
      <c r="N237" s="19">
        <f t="shared" si="75"/>
        <v>0</v>
      </c>
      <c r="O237" s="19">
        <f t="shared" si="76"/>
        <v>0</v>
      </c>
      <c r="P237" s="19">
        <f t="shared" si="66"/>
        <v>0</v>
      </c>
      <c r="Q237" s="19">
        <f t="shared" si="77"/>
        <v>0</v>
      </c>
      <c r="R237" s="52"/>
    </row>
    <row r="238" spans="2:18" ht="110.4" x14ac:dyDescent="0.25">
      <c r="B238" s="51">
        <f>IF(F238&lt;&gt;"",1+MAX($B$22:B237),"")</f>
        <v>117</v>
      </c>
      <c r="C238" s="132" t="s">
        <v>344</v>
      </c>
      <c r="D238" s="10" t="s">
        <v>403</v>
      </c>
      <c r="E238" s="25" t="s">
        <v>90</v>
      </c>
      <c r="F238" s="41">
        <f>24</f>
        <v>24</v>
      </c>
      <c r="G238" s="94"/>
      <c r="H238" s="19">
        <v>5.45</v>
      </c>
      <c r="I238" s="19">
        <f t="shared" si="67"/>
        <v>130.80000000000001</v>
      </c>
      <c r="J238" s="17">
        <v>0.125</v>
      </c>
      <c r="K238" s="12">
        <f t="shared" si="74"/>
        <v>3</v>
      </c>
      <c r="L238" s="97" t="s">
        <v>629</v>
      </c>
      <c r="M238" s="98">
        <v>53.15</v>
      </c>
      <c r="N238" s="19">
        <f t="shared" si="75"/>
        <v>44.220799999999997</v>
      </c>
      <c r="O238" s="19">
        <f t="shared" si="76"/>
        <v>5.5275999999999996</v>
      </c>
      <c r="P238" s="19">
        <f t="shared" si="66"/>
        <v>132.66239999999999</v>
      </c>
      <c r="Q238" s="19">
        <f t="shared" si="77"/>
        <v>263.4624</v>
      </c>
      <c r="R238" s="52"/>
    </row>
    <row r="239" spans="2:18" ht="124.2" x14ac:dyDescent="0.25">
      <c r="B239" s="51">
        <f>IF(F239&lt;&gt;"",1+MAX($B$22:B238),"")</f>
        <v>118</v>
      </c>
      <c r="C239" s="132"/>
      <c r="D239" s="10" t="s">
        <v>404</v>
      </c>
      <c r="E239" s="25" t="s">
        <v>90</v>
      </c>
      <c r="F239" s="41">
        <f>22</f>
        <v>22</v>
      </c>
      <c r="G239" s="94"/>
      <c r="H239" s="19">
        <v>6.61</v>
      </c>
      <c r="I239" s="19">
        <f t="shared" si="67"/>
        <v>145.42000000000002</v>
      </c>
      <c r="J239" s="17">
        <v>0.125</v>
      </c>
      <c r="K239" s="12">
        <f t="shared" si="74"/>
        <v>2.75</v>
      </c>
      <c r="L239" s="97" t="s">
        <v>629</v>
      </c>
      <c r="M239" s="98">
        <v>53.15</v>
      </c>
      <c r="N239" s="19">
        <f t="shared" si="75"/>
        <v>44.220799999999997</v>
      </c>
      <c r="O239" s="19">
        <f t="shared" si="76"/>
        <v>5.5275999999999996</v>
      </c>
      <c r="P239" s="19">
        <f t="shared" si="66"/>
        <v>121.60719999999999</v>
      </c>
      <c r="Q239" s="19">
        <f t="shared" si="77"/>
        <v>267.02719999999999</v>
      </c>
      <c r="R239" s="52"/>
    </row>
    <row r="240" spans="2:18" x14ac:dyDescent="0.25">
      <c r="B240" s="51" t="str">
        <f>IF(F240&lt;&gt;"",1+MAX($B$22:B239),"")</f>
        <v/>
      </c>
      <c r="C240" s="55"/>
      <c r="D240" s="10"/>
      <c r="E240" s="25"/>
      <c r="F240" s="41"/>
      <c r="G240" s="19"/>
      <c r="H240" s="19">
        <f t="shared" si="78"/>
        <v>0</v>
      </c>
      <c r="I240" s="19">
        <f t="shared" si="67"/>
        <v>0</v>
      </c>
      <c r="J240" s="17"/>
      <c r="K240" s="12">
        <f t="shared" si="74"/>
        <v>0</v>
      </c>
      <c r="L240" s="12"/>
      <c r="M240" s="19"/>
      <c r="N240" s="19">
        <f t="shared" si="75"/>
        <v>0</v>
      </c>
      <c r="O240" s="19">
        <f t="shared" si="76"/>
        <v>0</v>
      </c>
      <c r="P240" s="19">
        <f t="shared" si="66"/>
        <v>0</v>
      </c>
      <c r="Q240" s="19">
        <f t="shared" si="77"/>
        <v>0</v>
      </c>
      <c r="R240" s="52"/>
    </row>
    <row r="241" spans="2:19" s="14" customFormat="1" ht="12.75" customHeight="1" x14ac:dyDescent="0.25">
      <c r="B241" s="15" t="str">
        <f>IF(F241&lt;&gt;"",1+MAX($B$22:B240),"")</f>
        <v/>
      </c>
      <c r="C241" s="15" t="s">
        <v>50</v>
      </c>
      <c r="D241" s="8" t="s">
        <v>14</v>
      </c>
      <c r="E241" s="130" t="s">
        <v>69</v>
      </c>
      <c r="F241" s="130"/>
      <c r="G241" s="130"/>
      <c r="H241" s="54">
        <f>SUM(I242:I309)</f>
        <v>24445.397594839604</v>
      </c>
      <c r="I241" s="9">
        <f t="shared" ref="I241" si="79">F241*H241</f>
        <v>0</v>
      </c>
      <c r="J241" s="9"/>
      <c r="K241" s="131" t="s">
        <v>70</v>
      </c>
      <c r="L241" s="131"/>
      <c r="M241" s="131"/>
      <c r="N241" s="131"/>
      <c r="O241" s="54">
        <f>SUM(P242:P309)</f>
        <v>19120.363045325572</v>
      </c>
      <c r="P241" s="9">
        <f t="shared" ref="P241" si="80">F241*O241</f>
        <v>0</v>
      </c>
      <c r="Q241" s="50">
        <f>SUM(Q242:Q309)</f>
        <v>43565.760640165172</v>
      </c>
      <c r="R241" s="50">
        <f>(Q241)+(H241*$Q$8)+(O241*$Q$9)+(Q241*$Q$10)+($Q$11*((Q241)+(H241*$Q$8)+(O241*$Q$9)+(Q241*$Q$10)))+(Q241*$Q$12)</f>
        <v>61170.968211646235</v>
      </c>
    </row>
    <row r="242" spans="2:19" x14ac:dyDescent="0.25">
      <c r="B242" s="51" t="str">
        <f>IF(F242&lt;&gt;"",1+MAX($B$22:B241),"")</f>
        <v/>
      </c>
      <c r="C242" s="55"/>
      <c r="D242" s="10"/>
      <c r="E242" s="25"/>
      <c r="F242" s="41"/>
      <c r="G242" s="19"/>
      <c r="H242" s="19">
        <f t="shared" ref="H242:H305" si="81">G242*$T$2</f>
        <v>0</v>
      </c>
      <c r="I242" s="19">
        <f t="shared" ref="I242:I305" si="82">F242*H242</f>
        <v>0</v>
      </c>
      <c r="J242" s="17"/>
      <c r="K242" s="12">
        <f t="shared" ref="K242:K305" si="83">F242*J242</f>
        <v>0</v>
      </c>
      <c r="L242" s="12"/>
      <c r="M242" s="19"/>
      <c r="N242" s="19">
        <f t="shared" ref="N242:N305" si="84">M242*$U$2</f>
        <v>0</v>
      </c>
      <c r="O242" s="19">
        <f t="shared" ref="O242:O305" si="85">J242*N242</f>
        <v>0</v>
      </c>
      <c r="P242" s="19">
        <f t="shared" ref="P242:P305" si="86">F242*O242</f>
        <v>0</v>
      </c>
      <c r="Q242" s="19">
        <f t="shared" ref="Q242:Q305" si="87">I242+P242</f>
        <v>0</v>
      </c>
      <c r="R242" s="52"/>
      <c r="S242" s="14"/>
    </row>
    <row r="243" spans="2:19" x14ac:dyDescent="0.25">
      <c r="B243" s="70" t="str">
        <f>IF(F243&lt;&gt;"",1+MAX($B$22:B242),"")</f>
        <v/>
      </c>
      <c r="C243" s="71"/>
      <c r="D243" s="72" t="s">
        <v>226</v>
      </c>
      <c r="E243" s="25"/>
      <c r="F243" s="41"/>
      <c r="G243" s="19"/>
      <c r="H243" s="19">
        <f t="shared" si="81"/>
        <v>0</v>
      </c>
      <c r="I243" s="19">
        <f t="shared" si="82"/>
        <v>0</v>
      </c>
      <c r="J243" s="17"/>
      <c r="K243" s="12">
        <f t="shared" si="83"/>
        <v>0</v>
      </c>
      <c r="L243" s="12"/>
      <c r="M243" s="19"/>
      <c r="N243" s="19">
        <f t="shared" si="84"/>
        <v>0</v>
      </c>
      <c r="O243" s="19">
        <f t="shared" si="85"/>
        <v>0</v>
      </c>
      <c r="P243" s="19">
        <f t="shared" si="86"/>
        <v>0</v>
      </c>
      <c r="Q243" s="19">
        <f t="shared" si="87"/>
        <v>0</v>
      </c>
      <c r="R243" s="52"/>
    </row>
    <row r="244" spans="2:19" x14ac:dyDescent="0.25">
      <c r="B244" s="51">
        <f>IF(F244&lt;&gt;"",1+MAX($B$22:B243),"")</f>
        <v>119</v>
      </c>
      <c r="C244" s="55" t="s">
        <v>219</v>
      </c>
      <c r="D244" s="10" t="s">
        <v>227</v>
      </c>
      <c r="E244" s="25" t="s">
        <v>82</v>
      </c>
      <c r="F244" s="41">
        <v>695</v>
      </c>
      <c r="G244" s="19">
        <v>1.56</v>
      </c>
      <c r="H244" s="19">
        <f t="shared" si="81"/>
        <v>1.5880800000000002</v>
      </c>
      <c r="I244" s="19">
        <f t="shared" si="82"/>
        <v>1103.7156000000002</v>
      </c>
      <c r="J244" s="17">
        <v>0.14799999999999999</v>
      </c>
      <c r="K244" s="12">
        <f t="shared" si="83"/>
        <v>102.86</v>
      </c>
      <c r="L244" s="97" t="s">
        <v>642</v>
      </c>
      <c r="M244" s="98">
        <v>49.05</v>
      </c>
      <c r="N244" s="19">
        <f t="shared" si="84"/>
        <v>40.809599999999996</v>
      </c>
      <c r="O244" s="19">
        <f t="shared" si="85"/>
        <v>6.0398207999999993</v>
      </c>
      <c r="P244" s="19">
        <f t="shared" si="86"/>
        <v>4197.6754559999999</v>
      </c>
      <c r="Q244" s="19">
        <f t="shared" si="87"/>
        <v>5301.3910560000004</v>
      </c>
      <c r="R244" s="52"/>
    </row>
    <row r="245" spans="2:19" x14ac:dyDescent="0.25">
      <c r="B245" s="51" t="str">
        <f>IF(F245&lt;&gt;"",1+MAX($B$22:B244),"")</f>
        <v/>
      </c>
      <c r="C245" s="55"/>
      <c r="D245" s="10"/>
      <c r="E245" s="25"/>
      <c r="F245" s="41"/>
      <c r="G245" s="19"/>
      <c r="H245" s="19">
        <f t="shared" si="81"/>
        <v>0</v>
      </c>
      <c r="I245" s="19">
        <f t="shared" si="82"/>
        <v>0</v>
      </c>
      <c r="J245" s="17"/>
      <c r="K245" s="12">
        <f t="shared" si="83"/>
        <v>0</v>
      </c>
      <c r="L245" s="12"/>
      <c r="M245" s="19"/>
      <c r="N245" s="19">
        <f t="shared" si="84"/>
        <v>0</v>
      </c>
      <c r="O245" s="19">
        <f t="shared" si="85"/>
        <v>0</v>
      </c>
      <c r="P245" s="19">
        <f t="shared" si="86"/>
        <v>0</v>
      </c>
      <c r="Q245" s="19">
        <f t="shared" si="87"/>
        <v>0</v>
      </c>
      <c r="R245" s="52"/>
    </row>
    <row r="246" spans="2:19" x14ac:dyDescent="0.25">
      <c r="B246" s="70" t="str">
        <f>IF(F246&lt;&gt;"",1+MAX($B$22:B245),"")</f>
        <v/>
      </c>
      <c r="C246" s="71"/>
      <c r="D246" s="72" t="s">
        <v>88</v>
      </c>
      <c r="E246" s="25"/>
      <c r="F246" s="41"/>
      <c r="G246" s="19"/>
      <c r="H246" s="19">
        <f t="shared" si="81"/>
        <v>0</v>
      </c>
      <c r="I246" s="19">
        <f t="shared" si="82"/>
        <v>0</v>
      </c>
      <c r="J246" s="17"/>
      <c r="K246" s="12">
        <f t="shared" si="83"/>
        <v>0</v>
      </c>
      <c r="L246" s="12"/>
      <c r="M246" s="19"/>
      <c r="N246" s="19">
        <f t="shared" si="84"/>
        <v>0</v>
      </c>
      <c r="O246" s="19">
        <f t="shared" si="85"/>
        <v>0</v>
      </c>
      <c r="P246" s="19">
        <f t="shared" si="86"/>
        <v>0</v>
      </c>
      <c r="Q246" s="19">
        <f t="shared" si="87"/>
        <v>0</v>
      </c>
      <c r="R246" s="52"/>
    </row>
    <row r="247" spans="2:19" x14ac:dyDescent="0.25">
      <c r="B247" s="51">
        <f>IF(F247&lt;&gt;"",1+MAX($B$22:B246),"")</f>
        <v>120</v>
      </c>
      <c r="C247" s="55" t="s">
        <v>219</v>
      </c>
      <c r="D247" s="10" t="s">
        <v>89</v>
      </c>
      <c r="E247" s="25" t="s">
        <v>86</v>
      </c>
      <c r="F247" s="41">
        <f>377*2</f>
        <v>754</v>
      </c>
      <c r="G247" s="19">
        <v>1.3</v>
      </c>
      <c r="H247" s="19">
        <f t="shared" si="81"/>
        <v>1.3234000000000001</v>
      </c>
      <c r="I247" s="19">
        <f t="shared" si="82"/>
        <v>997.84360000000015</v>
      </c>
      <c r="J247" s="17">
        <v>0.04</v>
      </c>
      <c r="K247" s="12">
        <f t="shared" si="83"/>
        <v>30.16</v>
      </c>
      <c r="L247" s="97" t="s">
        <v>643</v>
      </c>
      <c r="M247" s="98">
        <v>52.05</v>
      </c>
      <c r="N247" s="19">
        <f t="shared" si="84"/>
        <v>43.305599999999998</v>
      </c>
      <c r="O247" s="19">
        <f t="shared" si="85"/>
        <v>1.732224</v>
      </c>
      <c r="P247" s="19">
        <f t="shared" si="86"/>
        <v>1306.096896</v>
      </c>
      <c r="Q247" s="19">
        <f t="shared" si="87"/>
        <v>2303.9404960000002</v>
      </c>
      <c r="R247" s="52"/>
    </row>
    <row r="248" spans="2:19" x14ac:dyDescent="0.25">
      <c r="B248" s="51">
        <f>IF(F248&lt;&gt;"",1+MAX($B$22:B247),"")</f>
        <v>121</v>
      </c>
      <c r="C248" s="132" t="s">
        <v>344</v>
      </c>
      <c r="D248" s="10" t="s">
        <v>405</v>
      </c>
      <c r="E248" s="25" t="s">
        <v>86</v>
      </c>
      <c r="F248" s="41">
        <f>1017+247</f>
        <v>1264</v>
      </c>
      <c r="G248" s="19">
        <v>0.43</v>
      </c>
      <c r="H248" s="19">
        <f t="shared" si="81"/>
        <v>0.43774000000000002</v>
      </c>
      <c r="I248" s="19">
        <f t="shared" si="82"/>
        <v>553.30336</v>
      </c>
      <c r="J248" s="17">
        <v>2.9000000000000001E-2</v>
      </c>
      <c r="K248" s="12">
        <f t="shared" si="83"/>
        <v>36.655999999999999</v>
      </c>
      <c r="L248" s="97" t="s">
        <v>643</v>
      </c>
      <c r="M248" s="98">
        <v>52.05</v>
      </c>
      <c r="N248" s="19">
        <f t="shared" si="84"/>
        <v>43.305599999999998</v>
      </c>
      <c r="O248" s="19">
        <f t="shared" si="85"/>
        <v>1.2558624</v>
      </c>
      <c r="P248" s="19">
        <f t="shared" si="86"/>
        <v>1587.4100736</v>
      </c>
      <c r="Q248" s="19">
        <f t="shared" si="87"/>
        <v>2140.7134335999999</v>
      </c>
      <c r="R248" s="52"/>
    </row>
    <row r="249" spans="2:19" x14ac:dyDescent="0.25">
      <c r="B249" s="51">
        <f>IF(F249&lt;&gt;"",1+MAX($B$22:B248),"")</f>
        <v>122</v>
      </c>
      <c r="C249" s="132"/>
      <c r="D249" s="10" t="s">
        <v>406</v>
      </c>
      <c r="E249" s="25" t="s">
        <v>86</v>
      </c>
      <c r="F249" s="41">
        <f>386</f>
        <v>386</v>
      </c>
      <c r="G249" s="19">
        <v>0.43</v>
      </c>
      <c r="H249" s="19">
        <f t="shared" si="81"/>
        <v>0.43774000000000002</v>
      </c>
      <c r="I249" s="19">
        <f t="shared" si="82"/>
        <v>168.96764000000002</v>
      </c>
      <c r="J249" s="17">
        <v>2.9000000000000001E-2</v>
      </c>
      <c r="K249" s="12">
        <f t="shared" si="83"/>
        <v>11.194000000000001</v>
      </c>
      <c r="L249" s="97" t="s">
        <v>643</v>
      </c>
      <c r="M249" s="98">
        <v>52.05</v>
      </c>
      <c r="N249" s="19">
        <f t="shared" si="84"/>
        <v>43.305599999999998</v>
      </c>
      <c r="O249" s="19">
        <f t="shared" si="85"/>
        <v>1.2558624</v>
      </c>
      <c r="P249" s="19">
        <f t="shared" si="86"/>
        <v>484.76288640000001</v>
      </c>
      <c r="Q249" s="19">
        <f t="shared" si="87"/>
        <v>653.73052640000003</v>
      </c>
      <c r="R249" s="52"/>
    </row>
    <row r="250" spans="2:19" x14ac:dyDescent="0.25">
      <c r="B250" s="51" t="str">
        <f>IF(F250&lt;&gt;"",1+MAX($B$22:B249),"")</f>
        <v/>
      </c>
      <c r="C250" s="55"/>
      <c r="D250" s="10"/>
      <c r="E250" s="25"/>
      <c r="F250" s="41"/>
      <c r="G250" s="19"/>
      <c r="H250" s="19">
        <f t="shared" si="81"/>
        <v>0</v>
      </c>
      <c r="I250" s="19">
        <f t="shared" si="82"/>
        <v>0</v>
      </c>
      <c r="J250" s="17"/>
      <c r="K250" s="12">
        <f t="shared" si="83"/>
        <v>0</v>
      </c>
      <c r="L250" s="12"/>
      <c r="M250" s="19"/>
      <c r="N250" s="19">
        <f t="shared" si="84"/>
        <v>0</v>
      </c>
      <c r="O250" s="19">
        <f t="shared" si="85"/>
        <v>0</v>
      </c>
      <c r="P250" s="19">
        <f t="shared" si="86"/>
        <v>0</v>
      </c>
      <c r="Q250" s="19">
        <f t="shared" si="87"/>
        <v>0</v>
      </c>
      <c r="R250" s="52"/>
    </row>
    <row r="251" spans="2:19" x14ac:dyDescent="0.25">
      <c r="B251" s="70" t="str">
        <f>IF(F251&lt;&gt;"",1+MAX($B$22:B250),"")</f>
        <v/>
      </c>
      <c r="C251" s="71"/>
      <c r="D251" s="72" t="s">
        <v>235</v>
      </c>
      <c r="E251" s="25"/>
      <c r="F251" s="41"/>
      <c r="G251" s="19"/>
      <c r="H251" s="19">
        <f t="shared" si="81"/>
        <v>0</v>
      </c>
      <c r="I251" s="19">
        <f t="shared" si="82"/>
        <v>0</v>
      </c>
      <c r="J251" s="17"/>
      <c r="K251" s="12">
        <f t="shared" si="83"/>
        <v>0</v>
      </c>
      <c r="L251" s="12"/>
      <c r="M251" s="19"/>
      <c r="N251" s="19">
        <f t="shared" si="84"/>
        <v>0</v>
      </c>
      <c r="O251" s="19">
        <f t="shared" si="85"/>
        <v>0</v>
      </c>
      <c r="P251" s="19">
        <f t="shared" si="86"/>
        <v>0</v>
      </c>
      <c r="Q251" s="19">
        <f t="shared" si="87"/>
        <v>0</v>
      </c>
      <c r="R251" s="52"/>
    </row>
    <row r="252" spans="2:19" x14ac:dyDescent="0.25">
      <c r="B252" s="51">
        <f>IF(F252&lt;&gt;"",1+MAX($B$22:B251),"")</f>
        <v>123</v>
      </c>
      <c r="C252" s="132" t="s">
        <v>344</v>
      </c>
      <c r="D252" s="10" t="s">
        <v>407</v>
      </c>
      <c r="E252" s="25" t="s">
        <v>86</v>
      </c>
      <c r="F252" s="41">
        <f>247</f>
        <v>247</v>
      </c>
      <c r="G252" s="19">
        <v>4.0999999999999996</v>
      </c>
      <c r="H252" s="19">
        <f t="shared" si="81"/>
        <v>4.1738</v>
      </c>
      <c r="I252" s="19">
        <f t="shared" si="82"/>
        <v>1030.9286</v>
      </c>
      <c r="J252" s="17">
        <v>3.1984948259642522E-2</v>
      </c>
      <c r="K252" s="12">
        <f t="shared" si="83"/>
        <v>7.9002822201317029</v>
      </c>
      <c r="L252" s="97" t="s">
        <v>629</v>
      </c>
      <c r="M252" s="98">
        <v>53.15</v>
      </c>
      <c r="N252" s="19">
        <f t="shared" si="84"/>
        <v>44.220799999999997</v>
      </c>
      <c r="O252" s="19">
        <f t="shared" si="85"/>
        <v>1.4143999999999999</v>
      </c>
      <c r="P252" s="19">
        <f t="shared" si="86"/>
        <v>349.35679999999996</v>
      </c>
      <c r="Q252" s="19">
        <f t="shared" si="87"/>
        <v>1380.2854</v>
      </c>
      <c r="R252" s="52"/>
    </row>
    <row r="253" spans="2:19" x14ac:dyDescent="0.25">
      <c r="B253" s="51">
        <f>IF(F253&lt;&gt;"",1+MAX($B$22:B252),"")</f>
        <v>124</v>
      </c>
      <c r="C253" s="132"/>
      <c r="D253" s="10" t="s">
        <v>408</v>
      </c>
      <c r="E253" s="25" t="s">
        <v>86</v>
      </c>
      <c r="F253" s="41">
        <f>386</f>
        <v>386</v>
      </c>
      <c r="G253" s="19">
        <v>4.0999999999999996</v>
      </c>
      <c r="H253" s="19">
        <f t="shared" si="81"/>
        <v>4.1738</v>
      </c>
      <c r="I253" s="19">
        <f t="shared" si="82"/>
        <v>1611.0868</v>
      </c>
      <c r="J253" s="17">
        <v>3.1984948259642522E-2</v>
      </c>
      <c r="K253" s="12">
        <f t="shared" si="83"/>
        <v>12.346190028222013</v>
      </c>
      <c r="L253" s="97" t="s">
        <v>629</v>
      </c>
      <c r="M253" s="98">
        <v>53.15</v>
      </c>
      <c r="N253" s="19">
        <f t="shared" si="84"/>
        <v>44.220799999999997</v>
      </c>
      <c r="O253" s="19">
        <f t="shared" si="85"/>
        <v>1.4143999999999999</v>
      </c>
      <c r="P253" s="19">
        <f t="shared" si="86"/>
        <v>545.95839999999998</v>
      </c>
      <c r="Q253" s="19">
        <f t="shared" si="87"/>
        <v>2157.0452</v>
      </c>
      <c r="R253" s="52"/>
    </row>
    <row r="254" spans="2:19" x14ac:dyDescent="0.25">
      <c r="B254" s="51" t="str">
        <f>IF(F254&lt;&gt;"",1+MAX($B$22:B253),"")</f>
        <v/>
      </c>
      <c r="C254" s="55"/>
      <c r="D254" s="10"/>
      <c r="E254" s="25"/>
      <c r="F254" s="41"/>
      <c r="G254" s="19"/>
      <c r="H254" s="19">
        <f t="shared" si="81"/>
        <v>0</v>
      </c>
      <c r="I254" s="19">
        <f t="shared" si="82"/>
        <v>0</v>
      </c>
      <c r="J254" s="17"/>
      <c r="K254" s="12">
        <f t="shared" si="83"/>
        <v>0</v>
      </c>
      <c r="L254" s="12"/>
      <c r="M254" s="19"/>
      <c r="N254" s="19">
        <f t="shared" si="84"/>
        <v>0</v>
      </c>
      <c r="O254" s="19">
        <f t="shared" si="85"/>
        <v>0</v>
      </c>
      <c r="P254" s="19">
        <f t="shared" si="86"/>
        <v>0</v>
      </c>
      <c r="Q254" s="19">
        <f t="shared" si="87"/>
        <v>0</v>
      </c>
      <c r="R254" s="52"/>
    </row>
    <row r="255" spans="2:19" x14ac:dyDescent="0.25">
      <c r="B255" s="70" t="str">
        <f>IF(F255&lt;&gt;"",1+MAX($B$22:B254),"")</f>
        <v/>
      </c>
      <c r="C255" s="71"/>
      <c r="D255" s="72" t="s">
        <v>228</v>
      </c>
      <c r="E255" s="25"/>
      <c r="F255" s="41"/>
      <c r="G255" s="19"/>
      <c r="H255" s="19">
        <f t="shared" si="81"/>
        <v>0</v>
      </c>
      <c r="I255" s="19">
        <f t="shared" si="82"/>
        <v>0</v>
      </c>
      <c r="J255" s="17"/>
      <c r="K255" s="12">
        <f t="shared" si="83"/>
        <v>0</v>
      </c>
      <c r="L255" s="12"/>
      <c r="M255" s="19"/>
      <c r="N255" s="19">
        <f t="shared" si="84"/>
        <v>0</v>
      </c>
      <c r="O255" s="19">
        <f t="shared" si="85"/>
        <v>0</v>
      </c>
      <c r="P255" s="19">
        <f t="shared" si="86"/>
        <v>0</v>
      </c>
      <c r="Q255" s="19">
        <f t="shared" si="87"/>
        <v>0</v>
      </c>
      <c r="R255" s="52"/>
    </row>
    <row r="256" spans="2:19" ht="13.95" customHeight="1" x14ac:dyDescent="0.25">
      <c r="B256" s="51">
        <f>IF(F256&lt;&gt;"",1+MAX($B$22:B255),"")</f>
        <v>125</v>
      </c>
      <c r="C256" s="132" t="s">
        <v>229</v>
      </c>
      <c r="D256" s="10" t="s">
        <v>230</v>
      </c>
      <c r="E256" s="25" t="s">
        <v>82</v>
      </c>
      <c r="F256" s="41">
        <v>1873</v>
      </c>
      <c r="G256" s="19">
        <v>1.1599999999999999</v>
      </c>
      <c r="H256" s="19">
        <f t="shared" si="81"/>
        <v>1.1808799999999999</v>
      </c>
      <c r="I256" s="19">
        <f t="shared" si="82"/>
        <v>2211.7882399999999</v>
      </c>
      <c r="J256" s="17">
        <v>7.0000000000000001E-3</v>
      </c>
      <c r="K256" s="12">
        <f t="shared" si="83"/>
        <v>13.111000000000001</v>
      </c>
      <c r="L256" s="97" t="s">
        <v>629</v>
      </c>
      <c r="M256" s="98">
        <v>53.15</v>
      </c>
      <c r="N256" s="19">
        <f t="shared" si="84"/>
        <v>44.220799999999997</v>
      </c>
      <c r="O256" s="19">
        <f t="shared" si="85"/>
        <v>0.30954559999999998</v>
      </c>
      <c r="P256" s="19">
        <f t="shared" si="86"/>
        <v>579.77890879999995</v>
      </c>
      <c r="Q256" s="19">
        <f t="shared" si="87"/>
        <v>2791.5671487999998</v>
      </c>
      <c r="R256" s="52"/>
    </row>
    <row r="257" spans="2:18" x14ac:dyDescent="0.25">
      <c r="B257" s="51">
        <f>IF(F257&lt;&gt;"",1+MAX($B$22:B256),"")</f>
        <v>126</v>
      </c>
      <c r="C257" s="132"/>
      <c r="D257" s="10" t="s">
        <v>231</v>
      </c>
      <c r="E257" s="25" t="s">
        <v>82</v>
      </c>
      <c r="F257" s="41">
        <v>1668</v>
      </c>
      <c r="G257" s="19">
        <v>1.1599999999999999</v>
      </c>
      <c r="H257" s="19">
        <f t="shared" si="81"/>
        <v>1.1808799999999999</v>
      </c>
      <c r="I257" s="19">
        <f t="shared" si="82"/>
        <v>1969.7078399999998</v>
      </c>
      <c r="J257" s="17">
        <v>7.0000000000000001E-3</v>
      </c>
      <c r="K257" s="12">
        <f t="shared" si="83"/>
        <v>11.676</v>
      </c>
      <c r="L257" s="97" t="s">
        <v>629</v>
      </c>
      <c r="M257" s="98">
        <v>53.15</v>
      </c>
      <c r="N257" s="19">
        <f t="shared" si="84"/>
        <v>44.220799999999997</v>
      </c>
      <c r="O257" s="19">
        <f t="shared" si="85"/>
        <v>0.30954559999999998</v>
      </c>
      <c r="P257" s="19">
        <f t="shared" si="86"/>
        <v>516.32206079999992</v>
      </c>
      <c r="Q257" s="19">
        <f t="shared" si="87"/>
        <v>2486.0299007999997</v>
      </c>
      <c r="R257" s="52"/>
    </row>
    <row r="258" spans="2:18" x14ac:dyDescent="0.25">
      <c r="B258" s="51">
        <f>IF(F258&lt;&gt;"",1+MAX($B$22:B257),"")</f>
        <v>127</v>
      </c>
      <c r="C258" s="132"/>
      <c r="D258" s="10" t="s">
        <v>232</v>
      </c>
      <c r="E258" s="25" t="s">
        <v>82</v>
      </c>
      <c r="F258" s="41">
        <v>1143</v>
      </c>
      <c r="G258" s="19">
        <v>1.25</v>
      </c>
      <c r="H258" s="19">
        <f t="shared" si="81"/>
        <v>1.2725</v>
      </c>
      <c r="I258" s="19">
        <f t="shared" si="82"/>
        <v>1454.4675</v>
      </c>
      <c r="J258" s="17">
        <v>8.9999999999999993E-3</v>
      </c>
      <c r="K258" s="12">
        <f t="shared" si="83"/>
        <v>10.286999999999999</v>
      </c>
      <c r="L258" s="97" t="s">
        <v>629</v>
      </c>
      <c r="M258" s="98">
        <v>53.15</v>
      </c>
      <c r="N258" s="19">
        <f t="shared" si="84"/>
        <v>44.220799999999997</v>
      </c>
      <c r="O258" s="19">
        <f t="shared" si="85"/>
        <v>0.39798719999999993</v>
      </c>
      <c r="P258" s="19">
        <f t="shared" si="86"/>
        <v>454.89936959999994</v>
      </c>
      <c r="Q258" s="19">
        <f t="shared" si="87"/>
        <v>1909.3668696</v>
      </c>
      <c r="R258" s="52"/>
    </row>
    <row r="259" spans="2:18" x14ac:dyDescent="0.25">
      <c r="B259" s="51">
        <f>IF(F259&lt;&gt;"",1+MAX($B$22:B258),"")</f>
        <v>128</v>
      </c>
      <c r="C259" s="132"/>
      <c r="D259" s="10" t="s">
        <v>619</v>
      </c>
      <c r="E259" s="25" t="s">
        <v>82</v>
      </c>
      <c r="F259" s="41">
        <v>769.36</v>
      </c>
      <c r="G259" s="19">
        <v>1.72</v>
      </c>
      <c r="H259" s="19">
        <f t="shared" si="81"/>
        <v>1.7509600000000001</v>
      </c>
      <c r="I259" s="19">
        <f t="shared" si="82"/>
        <v>1347.1185856000002</v>
      </c>
      <c r="J259" s="17">
        <v>1.7000000000000001E-2</v>
      </c>
      <c r="K259" s="12">
        <f t="shared" si="83"/>
        <v>13.079120000000001</v>
      </c>
      <c r="L259" s="97" t="s">
        <v>644</v>
      </c>
      <c r="M259" s="98">
        <v>46.2</v>
      </c>
      <c r="N259" s="19">
        <f t="shared" si="84"/>
        <v>38.438400000000001</v>
      </c>
      <c r="O259" s="19">
        <f t="shared" si="85"/>
        <v>0.65345280000000006</v>
      </c>
      <c r="P259" s="19">
        <f t="shared" si="86"/>
        <v>502.74044620800004</v>
      </c>
      <c r="Q259" s="19">
        <f t="shared" si="87"/>
        <v>1849.8590318080003</v>
      </c>
      <c r="R259" s="52"/>
    </row>
    <row r="260" spans="2:18" x14ac:dyDescent="0.25">
      <c r="B260" s="51">
        <f>IF(F260&lt;&gt;"",1+MAX($B$22:B259),"")</f>
        <v>129</v>
      </c>
      <c r="C260" s="132"/>
      <c r="D260" s="10" t="s">
        <v>233</v>
      </c>
      <c r="E260" s="25" t="s">
        <v>82</v>
      </c>
      <c r="F260" s="41">
        <f>243.76+21</f>
        <v>264.76</v>
      </c>
      <c r="G260" s="19">
        <v>1.1599999999999999</v>
      </c>
      <c r="H260" s="19">
        <f t="shared" si="81"/>
        <v>1.1808799999999999</v>
      </c>
      <c r="I260" s="19">
        <f t="shared" si="82"/>
        <v>312.64978879999995</v>
      </c>
      <c r="J260" s="17">
        <v>7.0000000000000001E-3</v>
      </c>
      <c r="K260" s="12">
        <f t="shared" si="83"/>
        <v>1.8533200000000001</v>
      </c>
      <c r="L260" s="97" t="s">
        <v>629</v>
      </c>
      <c r="M260" s="98">
        <v>53.15</v>
      </c>
      <c r="N260" s="19">
        <f t="shared" si="84"/>
        <v>44.220799999999997</v>
      </c>
      <c r="O260" s="19">
        <f t="shared" si="85"/>
        <v>0.30954559999999998</v>
      </c>
      <c r="P260" s="19">
        <f t="shared" si="86"/>
        <v>81.955293055999988</v>
      </c>
      <c r="Q260" s="19">
        <f t="shared" si="87"/>
        <v>394.60508185599997</v>
      </c>
      <c r="R260" s="52"/>
    </row>
    <row r="261" spans="2:18" x14ac:dyDescent="0.25">
      <c r="B261" s="51">
        <f>IF(F261&lt;&gt;"",1+MAX($B$22:B260),"")</f>
        <v>130</v>
      </c>
      <c r="C261" s="132"/>
      <c r="D261" s="10" t="s">
        <v>620</v>
      </c>
      <c r="E261" s="25" t="s">
        <v>82</v>
      </c>
      <c r="F261" s="41">
        <v>475</v>
      </c>
      <c r="G261" s="19">
        <v>1.25</v>
      </c>
      <c r="H261" s="19">
        <f t="shared" si="81"/>
        <v>1.2725</v>
      </c>
      <c r="I261" s="19">
        <f t="shared" ref="I261" si="88">F261*H261</f>
        <v>604.4375</v>
      </c>
      <c r="J261" s="17">
        <v>8.9999999999999993E-3</v>
      </c>
      <c r="K261" s="12">
        <f t="shared" ref="K261" si="89">F261*J261</f>
        <v>4.2749999999999995</v>
      </c>
      <c r="L261" s="97" t="s">
        <v>629</v>
      </c>
      <c r="M261" s="98">
        <v>53.15</v>
      </c>
      <c r="N261" s="19">
        <f t="shared" si="84"/>
        <v>44.220799999999997</v>
      </c>
      <c r="O261" s="19">
        <f t="shared" ref="O261" si="90">J261*N261</f>
        <v>0.39798719999999993</v>
      </c>
      <c r="P261" s="19">
        <f t="shared" si="86"/>
        <v>189.04391999999996</v>
      </c>
      <c r="Q261" s="19">
        <f t="shared" si="87"/>
        <v>793.48141999999996</v>
      </c>
      <c r="R261" s="52"/>
    </row>
    <row r="262" spans="2:18" x14ac:dyDescent="0.25">
      <c r="B262" s="51" t="str">
        <f>IF(F262&lt;&gt;"",1+MAX($B$22:B261),"")</f>
        <v/>
      </c>
      <c r="C262" s="55"/>
      <c r="D262" s="10"/>
      <c r="E262" s="25"/>
      <c r="F262" s="41"/>
      <c r="G262" s="19"/>
      <c r="H262" s="19">
        <f t="shared" si="81"/>
        <v>0</v>
      </c>
      <c r="I262" s="19">
        <f t="shared" si="82"/>
        <v>0</v>
      </c>
      <c r="J262" s="17"/>
      <c r="K262" s="12">
        <f t="shared" si="83"/>
        <v>0</v>
      </c>
      <c r="L262" s="12"/>
      <c r="M262" s="19"/>
      <c r="N262" s="19">
        <f t="shared" si="84"/>
        <v>0</v>
      </c>
      <c r="O262" s="19">
        <f t="shared" si="85"/>
        <v>0</v>
      </c>
      <c r="P262" s="19">
        <f t="shared" si="86"/>
        <v>0</v>
      </c>
      <c r="Q262" s="19">
        <f t="shared" si="87"/>
        <v>0</v>
      </c>
      <c r="R262" s="52"/>
    </row>
    <row r="263" spans="2:18" x14ac:dyDescent="0.25">
      <c r="B263" s="70" t="str">
        <f>IF(F263&lt;&gt;"",1+MAX($B$22:B262),"")</f>
        <v/>
      </c>
      <c r="C263" s="71"/>
      <c r="D263" s="72" t="s">
        <v>211</v>
      </c>
      <c r="E263" s="25"/>
      <c r="F263" s="41"/>
      <c r="G263" s="19"/>
      <c r="H263" s="19">
        <f t="shared" si="81"/>
        <v>0</v>
      </c>
      <c r="I263" s="19">
        <f t="shared" si="82"/>
        <v>0</v>
      </c>
      <c r="J263" s="17"/>
      <c r="K263" s="12">
        <f t="shared" si="83"/>
        <v>0</v>
      </c>
      <c r="L263" s="12"/>
      <c r="M263" s="19"/>
      <c r="N263" s="19">
        <f t="shared" si="84"/>
        <v>0</v>
      </c>
      <c r="O263" s="19">
        <f t="shared" si="85"/>
        <v>0</v>
      </c>
      <c r="P263" s="19">
        <f t="shared" si="86"/>
        <v>0</v>
      </c>
      <c r="Q263" s="19">
        <f t="shared" si="87"/>
        <v>0</v>
      </c>
      <c r="R263" s="52"/>
    </row>
    <row r="264" spans="2:18" x14ac:dyDescent="0.25">
      <c r="B264" s="51">
        <f>IF(F264&lt;&gt;"",1+MAX($B$22:B263),"")</f>
        <v>131</v>
      </c>
      <c r="C264" s="55" t="s">
        <v>213</v>
      </c>
      <c r="D264" s="10" t="s">
        <v>234</v>
      </c>
      <c r="E264" s="25" t="s">
        <v>82</v>
      </c>
      <c r="F264" s="41">
        <v>702.21</v>
      </c>
      <c r="G264" s="19">
        <v>4.2448000000000006</v>
      </c>
      <c r="H264" s="19">
        <f t="shared" si="81"/>
        <v>4.3212064000000003</v>
      </c>
      <c r="I264" s="19">
        <f t="shared" si="82"/>
        <v>3034.3943461440003</v>
      </c>
      <c r="J264" s="17">
        <v>9.6331138287864534E-2</v>
      </c>
      <c r="K264" s="12">
        <f t="shared" si="83"/>
        <v>67.644688617121361</v>
      </c>
      <c r="L264" s="97" t="s">
        <v>629</v>
      </c>
      <c r="M264" s="98">
        <v>53.15</v>
      </c>
      <c r="N264" s="19">
        <f t="shared" si="84"/>
        <v>44.220799999999997</v>
      </c>
      <c r="O264" s="19">
        <f t="shared" si="85"/>
        <v>4.2598399999999996</v>
      </c>
      <c r="P264" s="19">
        <f t="shared" si="86"/>
        <v>2991.3022464000001</v>
      </c>
      <c r="Q264" s="19">
        <f t="shared" si="87"/>
        <v>6025.6965925439999</v>
      </c>
      <c r="R264" s="52"/>
    </row>
    <row r="265" spans="2:18" x14ac:dyDescent="0.25">
      <c r="B265" s="51" t="str">
        <f>IF(F265&lt;&gt;"",1+MAX($B$22:B264),"")</f>
        <v/>
      </c>
      <c r="C265" s="55"/>
      <c r="D265" s="10"/>
      <c r="E265" s="25"/>
      <c r="F265" s="41"/>
      <c r="G265" s="19"/>
      <c r="H265" s="19">
        <f t="shared" si="81"/>
        <v>0</v>
      </c>
      <c r="I265" s="19">
        <f t="shared" si="82"/>
        <v>0</v>
      </c>
      <c r="J265" s="17"/>
      <c r="K265" s="12">
        <f t="shared" si="83"/>
        <v>0</v>
      </c>
      <c r="L265" s="12"/>
      <c r="M265" s="19"/>
      <c r="N265" s="19">
        <f t="shared" si="84"/>
        <v>0</v>
      </c>
      <c r="O265" s="19">
        <f t="shared" si="85"/>
        <v>0</v>
      </c>
      <c r="P265" s="19">
        <f t="shared" si="86"/>
        <v>0</v>
      </c>
      <c r="Q265" s="19">
        <f t="shared" si="87"/>
        <v>0</v>
      </c>
      <c r="R265" s="52"/>
    </row>
    <row r="266" spans="2:18" x14ac:dyDescent="0.25">
      <c r="B266" s="70" t="str">
        <f>IF(F266&lt;&gt;"",1+MAX($B$22:B265),"")</f>
        <v/>
      </c>
      <c r="C266" s="71"/>
      <c r="D266" s="72" t="s">
        <v>235</v>
      </c>
      <c r="E266" s="25"/>
      <c r="F266" s="41"/>
      <c r="G266" s="19"/>
      <c r="H266" s="19">
        <f t="shared" si="81"/>
        <v>0</v>
      </c>
      <c r="I266" s="19">
        <f t="shared" si="82"/>
        <v>0</v>
      </c>
      <c r="J266" s="17"/>
      <c r="K266" s="12">
        <f t="shared" si="83"/>
        <v>0</v>
      </c>
      <c r="L266" s="12"/>
      <c r="M266" s="19"/>
      <c r="N266" s="19">
        <f t="shared" si="84"/>
        <v>0</v>
      </c>
      <c r="O266" s="19">
        <f t="shared" si="85"/>
        <v>0</v>
      </c>
      <c r="P266" s="19">
        <f t="shared" si="86"/>
        <v>0</v>
      </c>
      <c r="Q266" s="19">
        <f t="shared" si="87"/>
        <v>0</v>
      </c>
      <c r="R266" s="52"/>
    </row>
    <row r="267" spans="2:18" x14ac:dyDescent="0.25">
      <c r="B267" s="51">
        <f>IF(F267&lt;&gt;"",1+MAX($B$22:B266),"")</f>
        <v>132</v>
      </c>
      <c r="C267" s="132" t="s">
        <v>213</v>
      </c>
      <c r="D267" s="10" t="s">
        <v>236</v>
      </c>
      <c r="E267" s="25" t="s">
        <v>86</v>
      </c>
      <c r="F267" s="41">
        <v>190.68</v>
      </c>
      <c r="G267" s="19">
        <v>4.8</v>
      </c>
      <c r="H267" s="19">
        <f t="shared" si="81"/>
        <v>4.8864000000000001</v>
      </c>
      <c r="I267" s="19">
        <f t="shared" si="82"/>
        <v>931.73875200000009</v>
      </c>
      <c r="J267" s="17">
        <v>3.1984948259642522E-2</v>
      </c>
      <c r="K267" s="12">
        <f t="shared" si="83"/>
        <v>6.0988899341486364</v>
      </c>
      <c r="L267" s="97" t="s">
        <v>629</v>
      </c>
      <c r="M267" s="98">
        <v>53.15</v>
      </c>
      <c r="N267" s="19">
        <f t="shared" si="84"/>
        <v>44.220799999999997</v>
      </c>
      <c r="O267" s="19">
        <f t="shared" si="85"/>
        <v>1.4143999999999999</v>
      </c>
      <c r="P267" s="19">
        <f t="shared" si="86"/>
        <v>269.69779199999999</v>
      </c>
      <c r="Q267" s="19">
        <f t="shared" si="87"/>
        <v>1201.4365440000001</v>
      </c>
      <c r="R267" s="52"/>
    </row>
    <row r="268" spans="2:18" x14ac:dyDescent="0.25">
      <c r="B268" s="51">
        <f>IF(F268&lt;&gt;"",1+MAX($B$22:B267),"")</f>
        <v>133</v>
      </c>
      <c r="C268" s="132"/>
      <c r="D268" s="10" t="s">
        <v>237</v>
      </c>
      <c r="E268" s="25" t="s">
        <v>86</v>
      </c>
      <c r="F268" s="41">
        <v>188.81</v>
      </c>
      <c r="G268" s="19">
        <v>5.15</v>
      </c>
      <c r="H268" s="19">
        <f t="shared" si="81"/>
        <v>5.2427000000000001</v>
      </c>
      <c r="I268" s="19">
        <f t="shared" si="82"/>
        <v>989.87418700000001</v>
      </c>
      <c r="J268" s="17">
        <v>3.1984948259642522E-2</v>
      </c>
      <c r="K268" s="12">
        <f t="shared" si="83"/>
        <v>6.0390780809031046</v>
      </c>
      <c r="L268" s="97" t="s">
        <v>629</v>
      </c>
      <c r="M268" s="98">
        <v>53.15</v>
      </c>
      <c r="N268" s="19">
        <f t="shared" si="84"/>
        <v>44.220799999999997</v>
      </c>
      <c r="O268" s="19">
        <f t="shared" si="85"/>
        <v>1.4143999999999999</v>
      </c>
      <c r="P268" s="19">
        <f t="shared" si="86"/>
        <v>267.052864</v>
      </c>
      <c r="Q268" s="19">
        <f t="shared" si="87"/>
        <v>1256.9270510000001</v>
      </c>
      <c r="R268" s="52"/>
    </row>
    <row r="269" spans="2:18" x14ac:dyDescent="0.25">
      <c r="B269" s="51" t="str">
        <f>IF(F269&lt;&gt;"",1+MAX($B$22:B268),"")</f>
        <v/>
      </c>
      <c r="C269" s="55"/>
      <c r="D269" s="10"/>
      <c r="E269" s="25"/>
      <c r="F269" s="41"/>
      <c r="G269" s="19"/>
      <c r="H269" s="19">
        <f t="shared" si="81"/>
        <v>0</v>
      </c>
      <c r="I269" s="19">
        <f t="shared" si="82"/>
        <v>0</v>
      </c>
      <c r="J269" s="17"/>
      <c r="K269" s="12">
        <f t="shared" si="83"/>
        <v>0</v>
      </c>
      <c r="L269" s="12"/>
      <c r="M269" s="19"/>
      <c r="N269" s="19">
        <f t="shared" si="84"/>
        <v>0</v>
      </c>
      <c r="O269" s="19">
        <f t="shared" si="85"/>
        <v>0</v>
      </c>
      <c r="P269" s="19">
        <f t="shared" si="86"/>
        <v>0</v>
      </c>
      <c r="Q269" s="19">
        <f t="shared" si="87"/>
        <v>0</v>
      </c>
      <c r="R269" s="52"/>
    </row>
    <row r="270" spans="2:18" x14ac:dyDescent="0.25">
      <c r="B270" s="70" t="str">
        <f>IF(F270&lt;&gt;"",1+MAX($B$22:B269),"")</f>
        <v/>
      </c>
      <c r="C270" s="71"/>
      <c r="D270" s="72" t="s">
        <v>238</v>
      </c>
      <c r="E270" s="25"/>
      <c r="F270" s="41"/>
      <c r="G270" s="19"/>
      <c r="H270" s="19">
        <f t="shared" si="81"/>
        <v>0</v>
      </c>
      <c r="I270" s="19">
        <f t="shared" si="82"/>
        <v>0</v>
      </c>
      <c r="J270" s="17"/>
      <c r="K270" s="12">
        <f t="shared" si="83"/>
        <v>0</v>
      </c>
      <c r="L270" s="12"/>
      <c r="M270" s="19"/>
      <c r="N270" s="19">
        <f t="shared" si="84"/>
        <v>0</v>
      </c>
      <c r="O270" s="19">
        <f t="shared" si="85"/>
        <v>0</v>
      </c>
      <c r="P270" s="19">
        <f t="shared" si="86"/>
        <v>0</v>
      </c>
      <c r="Q270" s="19">
        <f t="shared" si="87"/>
        <v>0</v>
      </c>
      <c r="R270" s="52"/>
    </row>
    <row r="271" spans="2:18" ht="41.4" x14ac:dyDescent="0.25">
      <c r="B271" s="51">
        <f>IF(F271&lt;&gt;"",1+MAX($B$22:B270),"")</f>
        <v>134</v>
      </c>
      <c r="C271" s="132" t="s">
        <v>239</v>
      </c>
      <c r="D271" s="10" t="s">
        <v>618</v>
      </c>
      <c r="E271" s="25" t="s">
        <v>82</v>
      </c>
      <c r="F271" s="41">
        <f>409.96*1.158</f>
        <v>474.73367999999994</v>
      </c>
      <c r="G271" s="19">
        <v>1.69</v>
      </c>
      <c r="H271" s="19">
        <f t="shared" si="81"/>
        <v>1.7204200000000001</v>
      </c>
      <c r="I271" s="19">
        <f t="shared" si="82"/>
        <v>816.74131774559987</v>
      </c>
      <c r="J271" s="17">
        <v>4.1000000000000002E-2</v>
      </c>
      <c r="K271" s="12">
        <f t="shared" si="83"/>
        <v>19.464080879999997</v>
      </c>
      <c r="L271" s="97" t="s">
        <v>645</v>
      </c>
      <c r="M271" s="98">
        <v>62.3</v>
      </c>
      <c r="N271" s="19">
        <f t="shared" si="84"/>
        <v>51.833599999999997</v>
      </c>
      <c r="O271" s="19">
        <f t="shared" si="85"/>
        <v>2.1251775999999998</v>
      </c>
      <c r="P271" s="19">
        <f t="shared" si="86"/>
        <v>1008.8933827015677</v>
      </c>
      <c r="Q271" s="19">
        <f t="shared" si="87"/>
        <v>1825.6347004471677</v>
      </c>
      <c r="R271" s="52"/>
    </row>
    <row r="272" spans="2:18" x14ac:dyDescent="0.25">
      <c r="B272" s="51">
        <f>IF(F272&lt;&gt;"",1+MAX($B$22:B271),"")</f>
        <v>135</v>
      </c>
      <c r="C272" s="132"/>
      <c r="D272" s="10" t="s">
        <v>240</v>
      </c>
      <c r="E272" s="25" t="s">
        <v>82</v>
      </c>
      <c r="F272" s="41">
        <v>769.36</v>
      </c>
      <c r="G272" s="19">
        <v>1.32</v>
      </c>
      <c r="H272" s="19">
        <f t="shared" si="81"/>
        <v>1.3437600000000001</v>
      </c>
      <c r="I272" s="19">
        <f t="shared" si="82"/>
        <v>1033.8351936000001</v>
      </c>
      <c r="J272" s="17">
        <v>2.5000000000000001E-2</v>
      </c>
      <c r="K272" s="12">
        <f t="shared" si="83"/>
        <v>19.234000000000002</v>
      </c>
      <c r="L272" s="97" t="s">
        <v>646</v>
      </c>
      <c r="M272" s="98">
        <v>46.78</v>
      </c>
      <c r="N272" s="19">
        <f t="shared" si="84"/>
        <v>38.920960000000001</v>
      </c>
      <c r="O272" s="19">
        <f t="shared" si="85"/>
        <v>0.97302400000000011</v>
      </c>
      <c r="P272" s="19">
        <f t="shared" si="86"/>
        <v>748.60574464000013</v>
      </c>
      <c r="Q272" s="19">
        <f t="shared" si="87"/>
        <v>1782.4409382400004</v>
      </c>
      <c r="R272" s="52"/>
    </row>
    <row r="273" spans="2:18" x14ac:dyDescent="0.25">
      <c r="B273" s="51">
        <f>IF(F273&lt;&gt;"",1+MAX($B$22:B272),"")</f>
        <v>136</v>
      </c>
      <c r="C273" s="132"/>
      <c r="D273" s="10" t="s">
        <v>241</v>
      </c>
      <c r="E273" s="25" t="s">
        <v>82</v>
      </c>
      <c r="F273" s="41">
        <f>243.76+21</f>
        <v>264.76</v>
      </c>
      <c r="G273" s="19">
        <v>1.32</v>
      </c>
      <c r="H273" s="19">
        <f t="shared" si="81"/>
        <v>1.3437600000000001</v>
      </c>
      <c r="I273" s="19">
        <f t="shared" si="82"/>
        <v>355.7738976</v>
      </c>
      <c r="J273" s="17">
        <v>2.5000000000000001E-2</v>
      </c>
      <c r="K273" s="12">
        <f t="shared" si="83"/>
        <v>6.6189999999999998</v>
      </c>
      <c r="L273" s="97" t="s">
        <v>646</v>
      </c>
      <c r="M273" s="98">
        <v>46.78</v>
      </c>
      <c r="N273" s="19">
        <f t="shared" si="84"/>
        <v>38.920960000000001</v>
      </c>
      <c r="O273" s="19">
        <f t="shared" si="85"/>
        <v>0.97302400000000011</v>
      </c>
      <c r="P273" s="19">
        <f t="shared" si="86"/>
        <v>257.61783424000004</v>
      </c>
      <c r="Q273" s="19">
        <f t="shared" si="87"/>
        <v>613.39173184000003</v>
      </c>
      <c r="R273" s="52"/>
    </row>
    <row r="274" spans="2:18" x14ac:dyDescent="0.25">
      <c r="B274" s="51" t="str">
        <f>IF(F274&lt;&gt;"",1+MAX($B$22:B273),"")</f>
        <v/>
      </c>
      <c r="C274" s="55"/>
      <c r="D274" s="10"/>
      <c r="E274" s="25"/>
      <c r="F274" s="41"/>
      <c r="G274" s="19"/>
      <c r="H274" s="19">
        <f t="shared" si="81"/>
        <v>0</v>
      </c>
      <c r="I274" s="19">
        <f t="shared" si="82"/>
        <v>0</v>
      </c>
      <c r="J274" s="17"/>
      <c r="K274" s="12">
        <f t="shared" si="83"/>
        <v>0</v>
      </c>
      <c r="L274" s="12"/>
      <c r="M274" s="19"/>
      <c r="N274" s="19">
        <f t="shared" si="84"/>
        <v>0</v>
      </c>
      <c r="O274" s="19">
        <f t="shared" si="85"/>
        <v>0</v>
      </c>
      <c r="P274" s="19">
        <f t="shared" si="86"/>
        <v>0</v>
      </c>
      <c r="Q274" s="19">
        <f t="shared" si="87"/>
        <v>0</v>
      </c>
      <c r="R274" s="52"/>
    </row>
    <row r="275" spans="2:18" x14ac:dyDescent="0.25">
      <c r="B275" s="51" t="str">
        <f>IF(F275&lt;&gt;"",1+MAX($B$22:B274),"")</f>
        <v/>
      </c>
      <c r="C275" s="55"/>
      <c r="D275" s="53" t="s">
        <v>242</v>
      </c>
      <c r="E275" s="25"/>
      <c r="F275" s="41"/>
      <c r="G275" s="19"/>
      <c r="H275" s="19">
        <f t="shared" si="81"/>
        <v>0</v>
      </c>
      <c r="I275" s="19">
        <f t="shared" si="82"/>
        <v>0</v>
      </c>
      <c r="J275" s="17"/>
      <c r="K275" s="12">
        <f t="shared" si="83"/>
        <v>0</v>
      </c>
      <c r="L275" s="12"/>
      <c r="M275" s="19"/>
      <c r="N275" s="19">
        <f t="shared" si="84"/>
        <v>0</v>
      </c>
      <c r="O275" s="19">
        <f t="shared" si="85"/>
        <v>0</v>
      </c>
      <c r="P275" s="19">
        <f t="shared" si="86"/>
        <v>0</v>
      </c>
      <c r="Q275" s="19">
        <f t="shared" si="87"/>
        <v>0</v>
      </c>
      <c r="R275" s="52"/>
    </row>
    <row r="276" spans="2:18" x14ac:dyDescent="0.25">
      <c r="B276" s="51">
        <f>IF(F276&lt;&gt;"",1+MAX($B$22:B275),"")</f>
        <v>137</v>
      </c>
      <c r="C276" s="55" t="s">
        <v>239</v>
      </c>
      <c r="D276" s="10" t="s">
        <v>617</v>
      </c>
      <c r="E276" s="25" t="s">
        <v>82</v>
      </c>
      <c r="F276" s="41">
        <v>475</v>
      </c>
      <c r="G276" s="19">
        <v>1.25</v>
      </c>
      <c r="H276" s="19">
        <f t="shared" si="81"/>
        <v>1.2725</v>
      </c>
      <c r="I276" s="19">
        <f t="shared" si="82"/>
        <v>604.4375</v>
      </c>
      <c r="J276" s="17">
        <v>2.4E-2</v>
      </c>
      <c r="K276" s="12">
        <f t="shared" si="83"/>
        <v>11.4</v>
      </c>
      <c r="L276" s="97" t="s">
        <v>629</v>
      </c>
      <c r="M276" s="98">
        <v>53.15</v>
      </c>
      <c r="N276" s="19">
        <f t="shared" si="84"/>
        <v>44.220799999999997</v>
      </c>
      <c r="O276" s="19">
        <f t="shared" si="85"/>
        <v>1.0612991999999999</v>
      </c>
      <c r="P276" s="19">
        <f t="shared" si="86"/>
        <v>504.11711999999994</v>
      </c>
      <c r="Q276" s="19">
        <f t="shared" si="87"/>
        <v>1108.5546199999999</v>
      </c>
      <c r="R276" s="52"/>
    </row>
    <row r="277" spans="2:18" x14ac:dyDescent="0.25">
      <c r="B277" s="51" t="str">
        <f>IF(F277&lt;&gt;"",1+MAX($B$22:B276),"")</f>
        <v/>
      </c>
      <c r="C277" s="55"/>
      <c r="D277" s="10"/>
      <c r="E277" s="25"/>
      <c r="F277" s="41"/>
      <c r="G277" s="19"/>
      <c r="H277" s="19">
        <f t="shared" si="81"/>
        <v>0</v>
      </c>
      <c r="I277" s="19">
        <f t="shared" si="82"/>
        <v>0</v>
      </c>
      <c r="J277" s="17"/>
      <c r="K277" s="12">
        <f t="shared" si="83"/>
        <v>0</v>
      </c>
      <c r="L277" s="12"/>
      <c r="M277" s="19"/>
      <c r="N277" s="19">
        <f t="shared" si="84"/>
        <v>0</v>
      </c>
      <c r="O277" s="19">
        <f t="shared" si="85"/>
        <v>0</v>
      </c>
      <c r="P277" s="19">
        <f t="shared" si="86"/>
        <v>0</v>
      </c>
      <c r="Q277" s="19">
        <f t="shared" si="87"/>
        <v>0</v>
      </c>
      <c r="R277" s="52"/>
    </row>
    <row r="278" spans="2:18" x14ac:dyDescent="0.25">
      <c r="B278" s="51" t="str">
        <f>IF(F278&lt;&gt;"",1+MAX($B$22:B277),"")</f>
        <v/>
      </c>
      <c r="C278" s="55"/>
      <c r="D278" s="53" t="s">
        <v>243</v>
      </c>
      <c r="E278" s="25"/>
      <c r="F278" s="41"/>
      <c r="G278" s="19"/>
      <c r="H278" s="19">
        <f t="shared" si="81"/>
        <v>0</v>
      </c>
      <c r="I278" s="19">
        <f t="shared" si="82"/>
        <v>0</v>
      </c>
      <c r="J278" s="17"/>
      <c r="K278" s="12">
        <f t="shared" si="83"/>
        <v>0</v>
      </c>
      <c r="L278" s="12"/>
      <c r="M278" s="19"/>
      <c r="N278" s="19">
        <f t="shared" si="84"/>
        <v>0</v>
      </c>
      <c r="O278" s="19">
        <f t="shared" si="85"/>
        <v>0</v>
      </c>
      <c r="P278" s="19">
        <f t="shared" si="86"/>
        <v>0</v>
      </c>
      <c r="Q278" s="19">
        <f t="shared" si="87"/>
        <v>0</v>
      </c>
      <c r="R278" s="52"/>
    </row>
    <row r="279" spans="2:18" x14ac:dyDescent="0.25">
      <c r="B279" s="51">
        <f>IF(F279&lt;&gt;"",1+MAX($B$22:B278),"")</f>
        <v>138</v>
      </c>
      <c r="C279" s="132" t="s">
        <v>239</v>
      </c>
      <c r="D279" s="10" t="s">
        <v>244</v>
      </c>
      <c r="E279" s="25" t="s">
        <v>86</v>
      </c>
      <c r="F279" s="41">
        <f>19.66</f>
        <v>19.66</v>
      </c>
      <c r="G279" s="19">
        <v>5.2649999999999997</v>
      </c>
      <c r="H279" s="19">
        <f t="shared" si="81"/>
        <v>5.3597700000000001</v>
      </c>
      <c r="I279" s="19">
        <f t="shared" si="82"/>
        <v>105.37307820000001</v>
      </c>
      <c r="J279" s="83">
        <v>6.8000000000000005E-2</v>
      </c>
      <c r="K279" s="84">
        <f t="shared" si="83"/>
        <v>1.3368800000000001</v>
      </c>
      <c r="L279" s="84" t="s">
        <v>647</v>
      </c>
      <c r="M279" s="19">
        <v>35.799999999999997</v>
      </c>
      <c r="N279" s="19">
        <f t="shared" si="84"/>
        <v>29.785599999999995</v>
      </c>
      <c r="O279" s="19">
        <f t="shared" si="85"/>
        <v>2.0254208</v>
      </c>
      <c r="P279" s="19">
        <f t="shared" si="86"/>
        <v>39.819772927999999</v>
      </c>
      <c r="Q279" s="19">
        <f t="shared" si="87"/>
        <v>145.192851128</v>
      </c>
      <c r="R279" s="52"/>
    </row>
    <row r="280" spans="2:18" x14ac:dyDescent="0.25">
      <c r="B280" s="51">
        <f>IF(F280&lt;&gt;"",1+MAX($B$22:B279),"")</f>
        <v>139</v>
      </c>
      <c r="C280" s="132"/>
      <c r="D280" s="10" t="s">
        <v>245</v>
      </c>
      <c r="E280" s="25" t="s">
        <v>86</v>
      </c>
      <c r="F280" s="41">
        <f>10.15*1.53</f>
        <v>15.529500000000001</v>
      </c>
      <c r="G280" s="19">
        <v>1.65</v>
      </c>
      <c r="H280" s="19">
        <f t="shared" si="81"/>
        <v>1.6797</v>
      </c>
      <c r="I280" s="19">
        <f t="shared" si="82"/>
        <v>26.08490115</v>
      </c>
      <c r="J280" s="83">
        <v>3.5000000000000003E-2</v>
      </c>
      <c r="K280" s="84">
        <f t="shared" si="83"/>
        <v>0.54353250000000009</v>
      </c>
      <c r="L280" s="84" t="s">
        <v>647</v>
      </c>
      <c r="M280" s="19">
        <v>35.799999999999997</v>
      </c>
      <c r="N280" s="19">
        <f t="shared" si="84"/>
        <v>29.785599999999995</v>
      </c>
      <c r="O280" s="19">
        <f t="shared" si="85"/>
        <v>1.0424959999999999</v>
      </c>
      <c r="P280" s="19">
        <f t="shared" si="86"/>
        <v>16.189441631999998</v>
      </c>
      <c r="Q280" s="19">
        <f t="shared" si="87"/>
        <v>42.274342781999998</v>
      </c>
      <c r="R280" s="52"/>
    </row>
    <row r="281" spans="2:18" x14ac:dyDescent="0.25">
      <c r="B281" s="51" t="str">
        <f>IF(F281&lt;&gt;"",1+MAX($B$22:B280),"")</f>
        <v/>
      </c>
      <c r="C281" s="55"/>
      <c r="D281" s="10"/>
      <c r="E281" s="25"/>
      <c r="F281" s="41"/>
      <c r="G281" s="19"/>
      <c r="H281" s="19">
        <f t="shared" si="81"/>
        <v>0</v>
      </c>
      <c r="I281" s="19">
        <f t="shared" si="82"/>
        <v>0</v>
      </c>
      <c r="J281" s="17"/>
      <c r="K281" s="12">
        <f t="shared" si="83"/>
        <v>0</v>
      </c>
      <c r="L281" s="12"/>
      <c r="M281" s="19"/>
      <c r="N281" s="19">
        <f t="shared" si="84"/>
        <v>0</v>
      </c>
      <c r="O281" s="19">
        <f t="shared" si="85"/>
        <v>0</v>
      </c>
      <c r="P281" s="19">
        <f t="shared" si="86"/>
        <v>0</v>
      </c>
      <c r="Q281" s="19">
        <f t="shared" si="87"/>
        <v>0</v>
      </c>
      <c r="R281" s="52"/>
    </row>
    <row r="282" spans="2:18" x14ac:dyDescent="0.25">
      <c r="B282" s="51" t="str">
        <f>IF(F282&lt;&gt;"",1+MAX($B$22:B281),"")</f>
        <v/>
      </c>
      <c r="C282" s="55"/>
      <c r="D282" s="53" t="s">
        <v>246</v>
      </c>
      <c r="E282" s="25"/>
      <c r="F282" s="41"/>
      <c r="G282" s="19"/>
      <c r="H282" s="19">
        <f t="shared" si="81"/>
        <v>0</v>
      </c>
      <c r="I282" s="19">
        <f t="shared" si="82"/>
        <v>0</v>
      </c>
      <c r="J282" s="17"/>
      <c r="K282" s="12">
        <f t="shared" si="83"/>
        <v>0</v>
      </c>
      <c r="L282" s="12"/>
      <c r="M282" s="19"/>
      <c r="N282" s="19">
        <f t="shared" si="84"/>
        <v>0</v>
      </c>
      <c r="O282" s="19">
        <f t="shared" si="85"/>
        <v>0</v>
      </c>
      <c r="P282" s="19">
        <f t="shared" si="86"/>
        <v>0</v>
      </c>
      <c r="Q282" s="19">
        <f t="shared" si="87"/>
        <v>0</v>
      </c>
      <c r="R282" s="52"/>
    </row>
    <row r="283" spans="2:18" ht="82.8" x14ac:dyDescent="0.25">
      <c r="B283" s="51">
        <f>IF(F283&lt;&gt;"",1+MAX($B$22:B282),"")</f>
        <v>140</v>
      </c>
      <c r="C283" s="132" t="s">
        <v>239</v>
      </c>
      <c r="D283" s="10" t="s">
        <v>247</v>
      </c>
      <c r="E283" s="25" t="s">
        <v>82</v>
      </c>
      <c r="F283" s="41">
        <v>59.5</v>
      </c>
      <c r="G283" s="19">
        <v>7.22</v>
      </c>
      <c r="H283" s="19">
        <f t="shared" si="81"/>
        <v>7.3499600000000003</v>
      </c>
      <c r="I283" s="19">
        <f t="shared" si="82"/>
        <v>437.32262000000003</v>
      </c>
      <c r="J283" s="17">
        <v>5.5E-2</v>
      </c>
      <c r="K283" s="12">
        <f t="shared" si="83"/>
        <v>3.2725</v>
      </c>
      <c r="L283" s="97" t="s">
        <v>645</v>
      </c>
      <c r="M283" s="98">
        <v>62.3</v>
      </c>
      <c r="N283" s="19">
        <f t="shared" si="84"/>
        <v>51.833599999999997</v>
      </c>
      <c r="O283" s="19">
        <f t="shared" si="85"/>
        <v>2.850848</v>
      </c>
      <c r="P283" s="19">
        <f t="shared" si="86"/>
        <v>169.62545600000001</v>
      </c>
      <c r="Q283" s="19">
        <f t="shared" si="87"/>
        <v>606.94807600000001</v>
      </c>
      <c r="R283" s="52"/>
    </row>
    <row r="284" spans="2:18" x14ac:dyDescent="0.25">
      <c r="B284" s="51">
        <f>IF(F284&lt;&gt;"",1+MAX($B$22:B283),"")</f>
        <v>141</v>
      </c>
      <c r="C284" s="132"/>
      <c r="D284" s="10" t="s">
        <v>248</v>
      </c>
      <c r="E284" s="25" t="s">
        <v>86</v>
      </c>
      <c r="F284" s="41">
        <v>19.53</v>
      </c>
      <c r="G284" s="19">
        <v>7.22</v>
      </c>
      <c r="H284" s="19">
        <f t="shared" si="81"/>
        <v>7.3499600000000003</v>
      </c>
      <c r="I284" s="19">
        <f t="shared" si="82"/>
        <v>143.54471880000003</v>
      </c>
      <c r="J284" s="17">
        <v>5.5E-2</v>
      </c>
      <c r="K284" s="12">
        <f t="shared" si="83"/>
        <v>1.0741500000000002</v>
      </c>
      <c r="L284" s="97" t="s">
        <v>645</v>
      </c>
      <c r="M284" s="98">
        <v>62.3</v>
      </c>
      <c r="N284" s="19">
        <f t="shared" si="84"/>
        <v>51.833599999999997</v>
      </c>
      <c r="O284" s="19">
        <f t="shared" si="85"/>
        <v>2.850848</v>
      </c>
      <c r="P284" s="19">
        <f t="shared" si="86"/>
        <v>55.677061440000003</v>
      </c>
      <c r="Q284" s="19">
        <f t="shared" si="87"/>
        <v>199.22178024000004</v>
      </c>
      <c r="R284" s="52"/>
    </row>
    <row r="285" spans="2:18" x14ac:dyDescent="0.25">
      <c r="B285" s="51" t="str">
        <f>IF(F285&lt;&gt;"",1+MAX($B$22:B284),"")</f>
        <v/>
      </c>
      <c r="C285" s="55"/>
      <c r="D285" s="10"/>
      <c r="E285" s="25"/>
      <c r="F285" s="41"/>
      <c r="G285" s="19"/>
      <c r="H285" s="19">
        <f t="shared" si="81"/>
        <v>0</v>
      </c>
      <c r="I285" s="19">
        <f t="shared" si="82"/>
        <v>0</v>
      </c>
      <c r="J285" s="17"/>
      <c r="K285" s="12">
        <f t="shared" si="83"/>
        <v>0</v>
      </c>
      <c r="L285" s="12"/>
      <c r="M285" s="19"/>
      <c r="N285" s="19">
        <f t="shared" si="84"/>
        <v>0</v>
      </c>
      <c r="O285" s="19">
        <f t="shared" si="85"/>
        <v>0</v>
      </c>
      <c r="P285" s="19">
        <f t="shared" si="86"/>
        <v>0</v>
      </c>
      <c r="Q285" s="19">
        <f t="shared" si="87"/>
        <v>0</v>
      </c>
      <c r="R285" s="52"/>
    </row>
    <row r="286" spans="2:18" x14ac:dyDescent="0.25">
      <c r="B286" s="51" t="str">
        <f>IF(F286&lt;&gt;"",1+MAX($B$22:B285),"")</f>
        <v/>
      </c>
      <c r="C286" s="55"/>
      <c r="D286" s="53" t="s">
        <v>249</v>
      </c>
      <c r="E286" s="25"/>
      <c r="F286" s="41"/>
      <c r="G286" s="19"/>
      <c r="H286" s="19">
        <f t="shared" si="81"/>
        <v>0</v>
      </c>
      <c r="I286" s="19">
        <f t="shared" si="82"/>
        <v>0</v>
      </c>
      <c r="J286" s="17"/>
      <c r="K286" s="12">
        <f t="shared" si="83"/>
        <v>0</v>
      </c>
      <c r="L286" s="12"/>
      <c r="M286" s="19"/>
      <c r="N286" s="19">
        <f t="shared" si="84"/>
        <v>0</v>
      </c>
      <c r="O286" s="19">
        <f t="shared" si="85"/>
        <v>0</v>
      </c>
      <c r="P286" s="19">
        <f t="shared" si="86"/>
        <v>0</v>
      </c>
      <c r="Q286" s="19">
        <f t="shared" si="87"/>
        <v>0</v>
      </c>
      <c r="R286" s="52"/>
    </row>
    <row r="287" spans="2:18" ht="41.4" x14ac:dyDescent="0.25">
      <c r="B287" s="51">
        <f>IF(F287&lt;&gt;"",1+MAX($B$22:B286),"")</f>
        <v>142</v>
      </c>
      <c r="C287" s="132" t="s">
        <v>239</v>
      </c>
      <c r="D287" s="10" t="s">
        <v>250</v>
      </c>
      <c r="E287" s="25" t="s">
        <v>86</v>
      </c>
      <c r="F287" s="41">
        <v>22.03</v>
      </c>
      <c r="G287" s="19">
        <v>2.46</v>
      </c>
      <c r="H287" s="19">
        <f t="shared" si="81"/>
        <v>2.5042800000000001</v>
      </c>
      <c r="I287" s="19">
        <f t="shared" si="82"/>
        <v>55.169288400000006</v>
      </c>
      <c r="J287" s="17">
        <v>9.7000000000000003E-2</v>
      </c>
      <c r="K287" s="12">
        <f t="shared" si="83"/>
        <v>2.1369100000000003</v>
      </c>
      <c r="L287" s="97" t="s">
        <v>645</v>
      </c>
      <c r="M287" s="98">
        <v>62.3</v>
      </c>
      <c r="N287" s="19">
        <f t="shared" si="84"/>
        <v>51.833599999999997</v>
      </c>
      <c r="O287" s="19">
        <f t="shared" si="85"/>
        <v>5.0278592</v>
      </c>
      <c r="P287" s="19">
        <f t="shared" si="86"/>
        <v>110.763738176</v>
      </c>
      <c r="Q287" s="19">
        <f t="shared" si="87"/>
        <v>165.933026576</v>
      </c>
      <c r="R287" s="52"/>
    </row>
    <row r="288" spans="2:18" ht="41.4" x14ac:dyDescent="0.25">
      <c r="B288" s="51">
        <f>IF(F288&lt;&gt;"",1+MAX($B$22:B287),"")</f>
        <v>143</v>
      </c>
      <c r="C288" s="132"/>
      <c r="D288" s="10" t="s">
        <v>251</v>
      </c>
      <c r="E288" s="25" t="s">
        <v>86</v>
      </c>
      <c r="F288" s="41">
        <v>27.62</v>
      </c>
      <c r="G288" s="19">
        <v>3.35</v>
      </c>
      <c r="H288" s="19">
        <f t="shared" si="81"/>
        <v>3.4103000000000003</v>
      </c>
      <c r="I288" s="19">
        <f t="shared" si="82"/>
        <v>94.192486000000017</v>
      </c>
      <c r="J288" s="17">
        <v>0.1</v>
      </c>
      <c r="K288" s="12">
        <f t="shared" si="83"/>
        <v>2.7620000000000005</v>
      </c>
      <c r="L288" s="97" t="s">
        <v>645</v>
      </c>
      <c r="M288" s="98">
        <v>62.3</v>
      </c>
      <c r="N288" s="19">
        <f t="shared" si="84"/>
        <v>51.833599999999997</v>
      </c>
      <c r="O288" s="19">
        <f t="shared" si="85"/>
        <v>5.1833600000000004</v>
      </c>
      <c r="P288" s="19">
        <f t="shared" si="86"/>
        <v>143.16440320000001</v>
      </c>
      <c r="Q288" s="19">
        <f t="shared" si="87"/>
        <v>237.35688920000001</v>
      </c>
      <c r="R288" s="52"/>
    </row>
    <row r="289" spans="2:18" ht="41.4" x14ac:dyDescent="0.25">
      <c r="B289" s="51">
        <f>IF(F289&lt;&gt;"",1+MAX($B$22:B288),"")</f>
        <v>144</v>
      </c>
      <c r="C289" s="132"/>
      <c r="D289" s="10" t="s">
        <v>252</v>
      </c>
      <c r="E289" s="25" t="s">
        <v>86</v>
      </c>
      <c r="F289" s="41">
        <v>95.21</v>
      </c>
      <c r="G289" s="19">
        <v>2.39</v>
      </c>
      <c r="H289" s="19">
        <f t="shared" si="81"/>
        <v>2.43302</v>
      </c>
      <c r="I289" s="19">
        <f t="shared" si="82"/>
        <v>231.64783419999998</v>
      </c>
      <c r="J289" s="17">
        <v>6.7000000000000004E-2</v>
      </c>
      <c r="K289" s="12">
        <f t="shared" si="83"/>
        <v>6.3790699999999996</v>
      </c>
      <c r="L289" s="97" t="s">
        <v>645</v>
      </c>
      <c r="M289" s="98">
        <v>62.3</v>
      </c>
      <c r="N289" s="19">
        <f t="shared" si="84"/>
        <v>51.833599999999997</v>
      </c>
      <c r="O289" s="19">
        <f t="shared" si="85"/>
        <v>3.4728512</v>
      </c>
      <c r="P289" s="19">
        <f t="shared" si="86"/>
        <v>330.65016275199997</v>
      </c>
      <c r="Q289" s="19">
        <f t="shared" si="87"/>
        <v>562.29799695199995</v>
      </c>
      <c r="R289" s="52"/>
    </row>
    <row r="290" spans="2:18" x14ac:dyDescent="0.25">
      <c r="B290" s="51" t="str">
        <f>IF(F290&lt;&gt;"",1+MAX($B$22:B289),"")</f>
        <v/>
      </c>
      <c r="C290" s="55"/>
      <c r="D290" s="10"/>
      <c r="E290" s="25"/>
      <c r="F290" s="41"/>
      <c r="G290" s="19"/>
      <c r="H290" s="19">
        <f t="shared" si="81"/>
        <v>0</v>
      </c>
      <c r="I290" s="19">
        <f t="shared" si="82"/>
        <v>0</v>
      </c>
      <c r="J290" s="17"/>
      <c r="K290" s="12">
        <f t="shared" si="83"/>
        <v>0</v>
      </c>
      <c r="L290" s="12"/>
      <c r="M290" s="19"/>
      <c r="N290" s="19">
        <f t="shared" si="84"/>
        <v>0</v>
      </c>
      <c r="O290" s="19">
        <f t="shared" si="85"/>
        <v>0</v>
      </c>
      <c r="P290" s="19">
        <f t="shared" si="86"/>
        <v>0</v>
      </c>
      <c r="Q290" s="19">
        <f t="shared" si="87"/>
        <v>0</v>
      </c>
      <c r="R290" s="52"/>
    </row>
    <row r="291" spans="2:18" x14ac:dyDescent="0.25">
      <c r="B291" s="51" t="str">
        <f>IF(F291&lt;&gt;"",1+MAX($B$22:B290),"")</f>
        <v/>
      </c>
      <c r="C291" s="55"/>
      <c r="D291" s="53" t="s">
        <v>253</v>
      </c>
      <c r="E291" s="25"/>
      <c r="F291" s="41"/>
      <c r="G291" s="19"/>
      <c r="H291" s="19">
        <f t="shared" si="81"/>
        <v>0</v>
      </c>
      <c r="I291" s="19">
        <f t="shared" si="82"/>
        <v>0</v>
      </c>
      <c r="J291" s="17"/>
      <c r="K291" s="12">
        <f t="shared" si="83"/>
        <v>0</v>
      </c>
      <c r="L291" s="12"/>
      <c r="M291" s="19"/>
      <c r="N291" s="19">
        <f t="shared" si="84"/>
        <v>0</v>
      </c>
      <c r="O291" s="19">
        <f t="shared" si="85"/>
        <v>0</v>
      </c>
      <c r="P291" s="19">
        <f t="shared" si="86"/>
        <v>0</v>
      </c>
      <c r="Q291" s="19">
        <f t="shared" si="87"/>
        <v>0</v>
      </c>
      <c r="R291" s="52"/>
    </row>
    <row r="292" spans="2:18" x14ac:dyDescent="0.25">
      <c r="B292" s="51">
        <f>IF(F292&lt;&gt;"",1+MAX($B$22:B291),"")</f>
        <v>145</v>
      </c>
      <c r="C292" s="55" t="s">
        <v>239</v>
      </c>
      <c r="D292" s="10" t="s">
        <v>254</v>
      </c>
      <c r="E292" s="25" t="s">
        <v>90</v>
      </c>
      <c r="F292" s="41">
        <v>1</v>
      </c>
      <c r="G292" s="19">
        <v>250</v>
      </c>
      <c r="H292" s="19">
        <f t="shared" si="81"/>
        <v>254.5</v>
      </c>
      <c r="I292" s="19">
        <f t="shared" si="82"/>
        <v>254.5</v>
      </c>
      <c r="J292" s="17">
        <v>1</v>
      </c>
      <c r="K292" s="12">
        <f t="shared" si="83"/>
        <v>1</v>
      </c>
      <c r="L292" s="97" t="s">
        <v>648</v>
      </c>
      <c r="M292" s="98">
        <v>58</v>
      </c>
      <c r="N292" s="19">
        <f t="shared" si="84"/>
        <v>48.256</v>
      </c>
      <c r="O292" s="19">
        <f t="shared" si="85"/>
        <v>48.256</v>
      </c>
      <c r="P292" s="19">
        <f t="shared" si="86"/>
        <v>48.256</v>
      </c>
      <c r="Q292" s="19">
        <f t="shared" si="87"/>
        <v>302.75599999999997</v>
      </c>
      <c r="R292" s="52"/>
    </row>
    <row r="293" spans="2:18" x14ac:dyDescent="0.25">
      <c r="B293" s="51" t="str">
        <f>IF(F293&lt;&gt;"",1+MAX($B$22:B292),"")</f>
        <v/>
      </c>
      <c r="C293" s="55"/>
      <c r="D293" s="10"/>
      <c r="E293" s="25"/>
      <c r="F293" s="41"/>
      <c r="G293" s="19"/>
      <c r="H293" s="19">
        <f t="shared" si="81"/>
        <v>0</v>
      </c>
      <c r="I293" s="19">
        <f t="shared" si="82"/>
        <v>0</v>
      </c>
      <c r="J293" s="17"/>
      <c r="K293" s="12">
        <f t="shared" si="83"/>
        <v>0</v>
      </c>
      <c r="L293" s="12"/>
      <c r="M293" s="19"/>
      <c r="N293" s="19">
        <f t="shared" si="84"/>
        <v>0</v>
      </c>
      <c r="O293" s="19">
        <f t="shared" si="85"/>
        <v>0</v>
      </c>
      <c r="P293" s="19">
        <f t="shared" si="86"/>
        <v>0</v>
      </c>
      <c r="Q293" s="19">
        <f t="shared" si="87"/>
        <v>0</v>
      </c>
      <c r="R293" s="52"/>
    </row>
    <row r="294" spans="2:18" x14ac:dyDescent="0.25">
      <c r="B294" s="51" t="str">
        <f>IF(F294&lt;&gt;"",1+MAX($B$22:B293),"")</f>
        <v/>
      </c>
      <c r="C294" s="55"/>
      <c r="D294" s="53" t="s">
        <v>255</v>
      </c>
      <c r="E294" s="25"/>
      <c r="F294" s="41"/>
      <c r="G294" s="19"/>
      <c r="H294" s="19">
        <f t="shared" si="81"/>
        <v>0</v>
      </c>
      <c r="I294" s="19">
        <f t="shared" si="82"/>
        <v>0</v>
      </c>
      <c r="J294" s="17"/>
      <c r="K294" s="12">
        <f t="shared" si="83"/>
        <v>0</v>
      </c>
      <c r="L294" s="12"/>
      <c r="M294" s="19"/>
      <c r="N294" s="19">
        <f t="shared" si="84"/>
        <v>0</v>
      </c>
      <c r="O294" s="19">
        <f t="shared" si="85"/>
        <v>0</v>
      </c>
      <c r="P294" s="19">
        <f t="shared" si="86"/>
        <v>0</v>
      </c>
      <c r="Q294" s="19">
        <f t="shared" si="87"/>
        <v>0</v>
      </c>
      <c r="R294" s="52"/>
    </row>
    <row r="295" spans="2:18" x14ac:dyDescent="0.25">
      <c r="B295" s="51">
        <f>IF(F295&lt;&gt;"",1+MAX($B$22:B294),"")</f>
        <v>146</v>
      </c>
      <c r="C295" s="55" t="s">
        <v>239</v>
      </c>
      <c r="D295" s="10" t="s">
        <v>256</v>
      </c>
      <c r="E295" s="25" t="s">
        <v>90</v>
      </c>
      <c r="F295" s="41">
        <v>3</v>
      </c>
      <c r="G295" s="19">
        <v>183</v>
      </c>
      <c r="H295" s="19">
        <f t="shared" si="81"/>
        <v>186.29400000000001</v>
      </c>
      <c r="I295" s="19">
        <f t="shared" si="82"/>
        <v>558.88200000000006</v>
      </c>
      <c r="J295" s="17">
        <v>0.8</v>
      </c>
      <c r="K295" s="12">
        <f t="shared" si="83"/>
        <v>2.4000000000000004</v>
      </c>
      <c r="L295" s="97" t="s">
        <v>649</v>
      </c>
      <c r="M295" s="98">
        <v>64.45</v>
      </c>
      <c r="N295" s="19">
        <f t="shared" si="84"/>
        <v>53.622399999999999</v>
      </c>
      <c r="O295" s="19">
        <f t="shared" si="85"/>
        <v>42.897919999999999</v>
      </c>
      <c r="P295" s="19">
        <f t="shared" si="86"/>
        <v>128.69376</v>
      </c>
      <c r="Q295" s="19">
        <f t="shared" si="87"/>
        <v>687.57576000000006</v>
      </c>
      <c r="R295" s="52"/>
    </row>
    <row r="296" spans="2:18" x14ac:dyDescent="0.25">
      <c r="B296" s="51" t="str">
        <f>IF(F296&lt;&gt;"",1+MAX($B$22:B295),"")</f>
        <v/>
      </c>
      <c r="C296" s="55"/>
      <c r="D296" s="10"/>
      <c r="E296" s="25"/>
      <c r="F296" s="41"/>
      <c r="G296" s="19"/>
      <c r="H296" s="19">
        <f t="shared" si="81"/>
        <v>0</v>
      </c>
      <c r="I296" s="19">
        <f t="shared" si="82"/>
        <v>0</v>
      </c>
      <c r="J296" s="17"/>
      <c r="K296" s="12">
        <f t="shared" si="83"/>
        <v>0</v>
      </c>
      <c r="L296" s="12"/>
      <c r="M296" s="19"/>
      <c r="N296" s="19">
        <f t="shared" si="84"/>
        <v>0</v>
      </c>
      <c r="O296" s="19">
        <f t="shared" si="85"/>
        <v>0</v>
      </c>
      <c r="P296" s="19">
        <f t="shared" si="86"/>
        <v>0</v>
      </c>
      <c r="Q296" s="19">
        <f t="shared" si="87"/>
        <v>0</v>
      </c>
      <c r="R296" s="52"/>
    </row>
    <row r="297" spans="2:18" x14ac:dyDescent="0.25">
      <c r="B297" s="51" t="str">
        <f>IF(F297&lt;&gt;"",1+MAX($B$22:B296),"")</f>
        <v/>
      </c>
      <c r="C297" s="55"/>
      <c r="D297" s="53" t="s">
        <v>257</v>
      </c>
      <c r="E297" s="25"/>
      <c r="F297" s="41"/>
      <c r="G297" s="19"/>
      <c r="H297" s="19">
        <f t="shared" si="81"/>
        <v>0</v>
      </c>
      <c r="I297" s="19">
        <f t="shared" si="82"/>
        <v>0</v>
      </c>
      <c r="J297" s="17"/>
      <c r="K297" s="12">
        <f t="shared" si="83"/>
        <v>0</v>
      </c>
      <c r="L297" s="12"/>
      <c r="M297" s="19"/>
      <c r="N297" s="19">
        <f t="shared" si="84"/>
        <v>0</v>
      </c>
      <c r="O297" s="19">
        <f t="shared" si="85"/>
        <v>0</v>
      </c>
      <c r="P297" s="19">
        <f t="shared" si="86"/>
        <v>0</v>
      </c>
      <c r="Q297" s="19">
        <f t="shared" si="87"/>
        <v>0</v>
      </c>
      <c r="R297" s="52"/>
    </row>
    <row r="298" spans="2:18" x14ac:dyDescent="0.25">
      <c r="B298" s="51">
        <f>IF(F298&lt;&gt;"",1+MAX($B$22:B297),"")</f>
        <v>147</v>
      </c>
      <c r="C298" s="55" t="s">
        <v>239</v>
      </c>
      <c r="D298" s="10" t="s">
        <v>258</v>
      </c>
      <c r="E298" s="25" t="s">
        <v>82</v>
      </c>
      <c r="F298" s="41">
        <v>243.76</v>
      </c>
      <c r="G298" s="19">
        <v>4</v>
      </c>
      <c r="H298" s="19">
        <f t="shared" si="81"/>
        <v>4.0720000000000001</v>
      </c>
      <c r="I298" s="19">
        <f t="shared" si="82"/>
        <v>992.59072000000003</v>
      </c>
      <c r="J298" s="83">
        <v>3.2000000000000001E-2</v>
      </c>
      <c r="K298" s="84">
        <f t="shared" si="83"/>
        <v>7.8003200000000001</v>
      </c>
      <c r="L298" s="97" t="s">
        <v>635</v>
      </c>
      <c r="M298" s="99">
        <v>46.9</v>
      </c>
      <c r="N298" s="19">
        <f t="shared" si="84"/>
        <v>39.020799999999994</v>
      </c>
      <c r="O298" s="19">
        <f t="shared" si="85"/>
        <v>1.2486655999999998</v>
      </c>
      <c r="P298" s="19">
        <f t="shared" si="86"/>
        <v>304.37472665599995</v>
      </c>
      <c r="Q298" s="19">
        <f t="shared" si="87"/>
        <v>1296.965446656</v>
      </c>
      <c r="R298" s="52"/>
    </row>
    <row r="299" spans="2:18" x14ac:dyDescent="0.25">
      <c r="B299" s="51" t="str">
        <f>IF(F299&lt;&gt;"",1+MAX($B$22:B298),"")</f>
        <v/>
      </c>
      <c r="C299" s="55"/>
      <c r="D299" s="10"/>
      <c r="E299" s="25"/>
      <c r="F299" s="41"/>
      <c r="G299" s="19"/>
      <c r="H299" s="19">
        <f t="shared" si="81"/>
        <v>0</v>
      </c>
      <c r="I299" s="19">
        <f t="shared" si="82"/>
        <v>0</v>
      </c>
      <c r="J299" s="17"/>
      <c r="K299" s="12">
        <f t="shared" si="83"/>
        <v>0</v>
      </c>
      <c r="L299" s="12"/>
      <c r="M299" s="19"/>
      <c r="N299" s="19">
        <f t="shared" si="84"/>
        <v>0</v>
      </c>
      <c r="O299" s="19">
        <f t="shared" si="85"/>
        <v>0</v>
      </c>
      <c r="P299" s="19">
        <f t="shared" si="86"/>
        <v>0</v>
      </c>
      <c r="Q299" s="19">
        <f t="shared" si="87"/>
        <v>0</v>
      </c>
      <c r="R299" s="52"/>
    </row>
    <row r="300" spans="2:18" x14ac:dyDescent="0.25">
      <c r="B300" s="51" t="str">
        <f>IF(F300&lt;&gt;"",1+MAX($B$22:B299),"")</f>
        <v/>
      </c>
      <c r="C300" s="55"/>
      <c r="D300" s="53" t="s">
        <v>259</v>
      </c>
      <c r="E300" s="25"/>
      <c r="F300" s="41"/>
      <c r="G300" s="19"/>
      <c r="H300" s="19">
        <f t="shared" si="81"/>
        <v>0</v>
      </c>
      <c r="I300" s="19">
        <f t="shared" si="82"/>
        <v>0</v>
      </c>
      <c r="J300" s="17"/>
      <c r="K300" s="12">
        <f t="shared" si="83"/>
        <v>0</v>
      </c>
      <c r="L300" s="12"/>
      <c r="M300" s="19"/>
      <c r="N300" s="19">
        <f t="shared" si="84"/>
        <v>0</v>
      </c>
      <c r="O300" s="19">
        <f t="shared" si="85"/>
        <v>0</v>
      </c>
      <c r="P300" s="19">
        <f t="shared" si="86"/>
        <v>0</v>
      </c>
      <c r="Q300" s="19">
        <f t="shared" si="87"/>
        <v>0</v>
      </c>
      <c r="R300" s="52"/>
    </row>
    <row r="301" spans="2:18" x14ac:dyDescent="0.25">
      <c r="B301" s="51">
        <f>IF(F301&lt;&gt;"",1+MAX($B$22:B300),"")</f>
        <v>148</v>
      </c>
      <c r="C301" s="132" t="s">
        <v>239</v>
      </c>
      <c r="D301" s="10" t="s">
        <v>260</v>
      </c>
      <c r="E301" s="25" t="s">
        <v>86</v>
      </c>
      <c r="F301" s="41">
        <v>60.49</v>
      </c>
      <c r="G301" s="19">
        <v>1.02</v>
      </c>
      <c r="H301" s="19">
        <f t="shared" si="81"/>
        <v>1.0383599999999999</v>
      </c>
      <c r="I301" s="19">
        <f t="shared" si="82"/>
        <v>62.810396400000002</v>
      </c>
      <c r="J301" s="17">
        <v>9.0999999999999998E-2</v>
      </c>
      <c r="K301" s="12">
        <f t="shared" si="83"/>
        <v>5.5045900000000003</v>
      </c>
      <c r="L301" s="97" t="s">
        <v>644</v>
      </c>
      <c r="M301" s="98">
        <v>46.2</v>
      </c>
      <c r="N301" s="19">
        <f t="shared" si="84"/>
        <v>38.438400000000001</v>
      </c>
      <c r="O301" s="19">
        <f t="shared" si="85"/>
        <v>3.4978943999999998</v>
      </c>
      <c r="P301" s="19">
        <f t="shared" si="86"/>
        <v>211.58763225600001</v>
      </c>
      <c r="Q301" s="19">
        <f t="shared" si="87"/>
        <v>274.39802865600001</v>
      </c>
      <c r="R301" s="52"/>
    </row>
    <row r="302" spans="2:18" x14ac:dyDescent="0.25">
      <c r="B302" s="51">
        <f>IF(F302&lt;&gt;"",1+MAX($B$22:B301),"")</f>
        <v>149</v>
      </c>
      <c r="C302" s="132"/>
      <c r="D302" s="10" t="s">
        <v>261</v>
      </c>
      <c r="E302" s="25" t="s">
        <v>86</v>
      </c>
      <c r="F302" s="41">
        <v>45.09</v>
      </c>
      <c r="G302" s="19">
        <v>1.45</v>
      </c>
      <c r="H302" s="19">
        <f t="shared" si="81"/>
        <v>1.4761</v>
      </c>
      <c r="I302" s="19">
        <f t="shared" si="82"/>
        <v>66.557349000000002</v>
      </c>
      <c r="J302" s="17">
        <v>9.0999999999999998E-2</v>
      </c>
      <c r="K302" s="12">
        <f t="shared" si="83"/>
        <v>4.1031900000000006</v>
      </c>
      <c r="L302" s="97" t="s">
        <v>644</v>
      </c>
      <c r="M302" s="98">
        <v>46.2</v>
      </c>
      <c r="N302" s="19">
        <f t="shared" si="84"/>
        <v>38.438400000000001</v>
      </c>
      <c r="O302" s="19">
        <f t="shared" si="85"/>
        <v>3.4978943999999998</v>
      </c>
      <c r="P302" s="19">
        <f t="shared" si="86"/>
        <v>157.72005849600001</v>
      </c>
      <c r="Q302" s="19">
        <f t="shared" si="87"/>
        <v>224.27740749600002</v>
      </c>
      <c r="R302" s="52"/>
    </row>
    <row r="303" spans="2:18" x14ac:dyDescent="0.25">
      <c r="B303" s="51">
        <f>IF(F303&lt;&gt;"",1+MAX($B$22:B302),"")</f>
        <v>150</v>
      </c>
      <c r="C303" s="132"/>
      <c r="D303" s="10" t="s">
        <v>262</v>
      </c>
      <c r="E303" s="25" t="s">
        <v>86</v>
      </c>
      <c r="F303" s="41">
        <v>32.17</v>
      </c>
      <c r="G303" s="19">
        <v>2.02</v>
      </c>
      <c r="H303" s="19">
        <f t="shared" si="81"/>
        <v>2.0563600000000002</v>
      </c>
      <c r="I303" s="19">
        <f t="shared" si="82"/>
        <v>66.153101200000009</v>
      </c>
      <c r="J303" s="17">
        <v>6.0999999999999999E-2</v>
      </c>
      <c r="K303" s="12">
        <f t="shared" si="83"/>
        <v>1.9623700000000002</v>
      </c>
      <c r="L303" s="97" t="s">
        <v>644</v>
      </c>
      <c r="M303" s="98">
        <v>46.2</v>
      </c>
      <c r="N303" s="19">
        <f t="shared" si="84"/>
        <v>38.438400000000001</v>
      </c>
      <c r="O303" s="19">
        <f t="shared" si="85"/>
        <v>2.3447423999999999</v>
      </c>
      <c r="P303" s="19">
        <f t="shared" si="86"/>
        <v>75.430363008</v>
      </c>
      <c r="Q303" s="19">
        <f t="shared" si="87"/>
        <v>141.58346420800001</v>
      </c>
      <c r="R303" s="52"/>
    </row>
    <row r="304" spans="2:18" ht="27.6" x14ac:dyDescent="0.25">
      <c r="B304" s="51">
        <f>IF(F304&lt;&gt;"",1+MAX($B$22:B303),"")</f>
        <v>151</v>
      </c>
      <c r="C304" s="132"/>
      <c r="D304" s="10" t="s">
        <v>263</v>
      </c>
      <c r="E304" s="25" t="s">
        <v>86</v>
      </c>
      <c r="F304" s="41">
        <v>38.46</v>
      </c>
      <c r="G304" s="19">
        <v>1.65</v>
      </c>
      <c r="H304" s="19">
        <f t="shared" si="81"/>
        <v>1.6797</v>
      </c>
      <c r="I304" s="19">
        <f t="shared" si="82"/>
        <v>64.601262000000006</v>
      </c>
      <c r="J304" s="17">
        <v>9.0999999999999998E-2</v>
      </c>
      <c r="K304" s="12">
        <f t="shared" si="83"/>
        <v>3.49986</v>
      </c>
      <c r="L304" s="97" t="s">
        <v>644</v>
      </c>
      <c r="M304" s="98">
        <v>46.2</v>
      </c>
      <c r="N304" s="19">
        <f t="shared" si="84"/>
        <v>38.438400000000001</v>
      </c>
      <c r="O304" s="19">
        <f t="shared" si="85"/>
        <v>3.4978943999999998</v>
      </c>
      <c r="P304" s="19">
        <f t="shared" si="86"/>
        <v>134.529018624</v>
      </c>
      <c r="Q304" s="19">
        <f t="shared" si="87"/>
        <v>199.13028062400002</v>
      </c>
      <c r="R304" s="52"/>
    </row>
    <row r="305" spans="2:19" x14ac:dyDescent="0.25">
      <c r="B305" s="51">
        <f>IF(F305&lt;&gt;"",1+MAX($B$22:B304),"")</f>
        <v>152</v>
      </c>
      <c r="C305" s="132"/>
      <c r="D305" s="10" t="s">
        <v>264</v>
      </c>
      <c r="E305" s="25" t="s">
        <v>86</v>
      </c>
      <c r="F305" s="41">
        <v>25.58</v>
      </c>
      <c r="G305" s="19">
        <v>1.65</v>
      </c>
      <c r="H305" s="19">
        <f t="shared" si="81"/>
        <v>1.6797</v>
      </c>
      <c r="I305" s="19">
        <f t="shared" si="82"/>
        <v>42.966725999999994</v>
      </c>
      <c r="J305" s="17">
        <v>9.0999999999999998E-2</v>
      </c>
      <c r="K305" s="12">
        <f t="shared" si="83"/>
        <v>2.3277799999999997</v>
      </c>
      <c r="L305" s="97" t="s">
        <v>644</v>
      </c>
      <c r="M305" s="98">
        <v>46.2</v>
      </c>
      <c r="N305" s="19">
        <f t="shared" si="84"/>
        <v>38.438400000000001</v>
      </c>
      <c r="O305" s="19">
        <f t="shared" si="85"/>
        <v>3.4978943999999998</v>
      </c>
      <c r="P305" s="19">
        <f t="shared" si="86"/>
        <v>89.476138751999997</v>
      </c>
      <c r="Q305" s="19">
        <f t="shared" si="87"/>
        <v>132.44286475199999</v>
      </c>
      <c r="R305" s="52"/>
    </row>
    <row r="306" spans="2:19" x14ac:dyDescent="0.25">
      <c r="B306" s="51" t="str">
        <f>IF(F306&lt;&gt;"",1+MAX($B$22:B305),"")</f>
        <v/>
      </c>
      <c r="C306" s="55"/>
      <c r="D306" s="10"/>
      <c r="E306" s="25"/>
      <c r="F306" s="41"/>
      <c r="G306" s="19"/>
      <c r="H306" s="19">
        <f t="shared" ref="H306:H309" si="91">G306*$T$2</f>
        <v>0</v>
      </c>
      <c r="I306" s="19">
        <f t="shared" ref="I306:I309" si="92">F306*H306</f>
        <v>0</v>
      </c>
      <c r="J306" s="17"/>
      <c r="K306" s="12">
        <f t="shared" ref="K306:K309" si="93">F306*J306</f>
        <v>0</v>
      </c>
      <c r="L306" s="12"/>
      <c r="M306" s="19"/>
      <c r="N306" s="19">
        <f t="shared" ref="N306:N309" si="94">M306*$U$2</f>
        <v>0</v>
      </c>
      <c r="O306" s="19">
        <f t="shared" ref="O306:O309" si="95">J306*N306</f>
        <v>0</v>
      </c>
      <c r="P306" s="19">
        <f t="shared" ref="P306:P309" si="96">F306*O306</f>
        <v>0</v>
      </c>
      <c r="Q306" s="19">
        <f t="shared" ref="Q306:Q309" si="97">I306+P306</f>
        <v>0</v>
      </c>
      <c r="R306" s="52"/>
      <c r="S306" s="14"/>
    </row>
    <row r="307" spans="2:19" x14ac:dyDescent="0.25">
      <c r="B307" s="51" t="str">
        <f>IF(F307&lt;&gt;"",1+MAX($B$22:B306),"")</f>
        <v/>
      </c>
      <c r="C307" s="55"/>
      <c r="D307" s="53" t="s">
        <v>265</v>
      </c>
      <c r="E307" s="25"/>
      <c r="F307" s="41"/>
      <c r="G307" s="19"/>
      <c r="H307" s="19">
        <f t="shared" si="91"/>
        <v>0</v>
      </c>
      <c r="I307" s="19">
        <f t="shared" si="92"/>
        <v>0</v>
      </c>
      <c r="J307" s="17"/>
      <c r="K307" s="12">
        <f t="shared" si="93"/>
        <v>0</v>
      </c>
      <c r="L307" s="12"/>
      <c r="M307" s="19"/>
      <c r="N307" s="19">
        <f t="shared" si="94"/>
        <v>0</v>
      </c>
      <c r="O307" s="19">
        <f t="shared" si="95"/>
        <v>0</v>
      </c>
      <c r="P307" s="19">
        <f t="shared" si="96"/>
        <v>0</v>
      </c>
      <c r="Q307" s="19">
        <f t="shared" si="97"/>
        <v>0</v>
      </c>
      <c r="R307" s="52"/>
    </row>
    <row r="308" spans="2:19" x14ac:dyDescent="0.25">
      <c r="B308" s="51">
        <f>IF(F308&lt;&gt;"",1+MAX($B$22:B307),"")</f>
        <v>153</v>
      </c>
      <c r="C308" s="55" t="s">
        <v>239</v>
      </c>
      <c r="D308" s="10" t="s">
        <v>266</v>
      </c>
      <c r="E308" s="25" t="s">
        <v>86</v>
      </c>
      <c r="F308" s="41">
        <v>74.650000000000006</v>
      </c>
      <c r="G308" s="19">
        <v>1.45</v>
      </c>
      <c r="H308" s="19">
        <f t="shared" si="91"/>
        <v>1.4761</v>
      </c>
      <c r="I308" s="19">
        <f t="shared" si="92"/>
        <v>110.190865</v>
      </c>
      <c r="J308" s="17">
        <v>9.0999999999999998E-2</v>
      </c>
      <c r="K308" s="12">
        <f t="shared" si="93"/>
        <v>6.7931500000000007</v>
      </c>
      <c r="L308" s="97" t="s">
        <v>644</v>
      </c>
      <c r="M308" s="98">
        <v>46.2</v>
      </c>
      <c r="N308" s="19">
        <f t="shared" si="94"/>
        <v>38.438400000000001</v>
      </c>
      <c r="O308" s="19">
        <f t="shared" si="95"/>
        <v>3.4978943999999998</v>
      </c>
      <c r="P308" s="19">
        <f t="shared" si="96"/>
        <v>261.11781696000003</v>
      </c>
      <c r="Q308" s="19">
        <f t="shared" si="97"/>
        <v>371.30868196000006</v>
      </c>
      <c r="R308" s="52"/>
    </row>
    <row r="309" spans="2:19" x14ac:dyDescent="0.25">
      <c r="B309" s="51" t="str">
        <f>IF(F309&lt;&gt;"",1+MAX($B$22:B308),"")</f>
        <v/>
      </c>
      <c r="C309" s="55"/>
      <c r="D309" s="10"/>
      <c r="E309" s="25"/>
      <c r="F309" s="41"/>
      <c r="G309" s="19"/>
      <c r="H309" s="19">
        <f t="shared" si="91"/>
        <v>0</v>
      </c>
      <c r="I309" s="19">
        <f t="shared" si="92"/>
        <v>0</v>
      </c>
      <c r="J309" s="17"/>
      <c r="K309" s="12">
        <f t="shared" si="93"/>
        <v>0</v>
      </c>
      <c r="L309" s="12"/>
      <c r="M309" s="19"/>
      <c r="N309" s="19">
        <f t="shared" si="94"/>
        <v>0</v>
      </c>
      <c r="O309" s="19">
        <f t="shared" si="95"/>
        <v>0</v>
      </c>
      <c r="P309" s="19">
        <f t="shared" si="96"/>
        <v>0</v>
      </c>
      <c r="Q309" s="19">
        <f t="shared" si="97"/>
        <v>0</v>
      </c>
      <c r="R309" s="52"/>
    </row>
    <row r="310" spans="2:19" s="14" customFormat="1" ht="12.75" customHeight="1" x14ac:dyDescent="0.25">
      <c r="B310" s="15" t="str">
        <f>IF(F310&lt;&gt;"",1+MAX($B$22:B309),"")</f>
        <v/>
      </c>
      <c r="C310" s="15" t="s">
        <v>51</v>
      </c>
      <c r="D310" s="8" t="s">
        <v>15</v>
      </c>
      <c r="E310" s="130" t="s">
        <v>69</v>
      </c>
      <c r="F310" s="130"/>
      <c r="G310" s="130"/>
      <c r="H310" s="54">
        <f>SUM(I311:I367)</f>
        <v>92892.235320000007</v>
      </c>
      <c r="I310" s="9">
        <f t="shared" ref="I310" si="98">F310*H310</f>
        <v>0</v>
      </c>
      <c r="J310" s="9"/>
      <c r="K310" s="131" t="s">
        <v>70</v>
      </c>
      <c r="L310" s="131"/>
      <c r="M310" s="131"/>
      <c r="N310" s="131"/>
      <c r="O310" s="54">
        <f>SUM(P311:P367)</f>
        <v>22733.257614184466</v>
      </c>
      <c r="P310" s="9">
        <f t="shared" ref="P310" si="99">F310*O310</f>
        <v>0</v>
      </c>
      <c r="Q310" s="50">
        <f>SUM(Q311:Q367)</f>
        <v>115625.49293418447</v>
      </c>
      <c r="R310" s="50">
        <f>(Q310)+(H310*$Q$8)+(O310*$Q$9)+(Q310*$Q$10)+($Q$11*((Q310)+(H310*$Q$8)+(O310*$Q$9)+(Q310*$Q$10)))+(Q310*$Q$12)</f>
        <v>161207.57521602523</v>
      </c>
    </row>
    <row r="311" spans="2:19" x14ac:dyDescent="0.25">
      <c r="B311" s="51" t="str">
        <f>IF(F311&lt;&gt;"",1+MAX($B$22:B310),"")</f>
        <v/>
      </c>
      <c r="C311" s="55"/>
      <c r="D311" s="10"/>
      <c r="E311" s="25"/>
      <c r="F311" s="41"/>
      <c r="G311" s="19"/>
      <c r="H311" s="19">
        <f t="shared" ref="H311:H367" si="100">G311*$T$2</f>
        <v>0</v>
      </c>
      <c r="I311" s="19">
        <f t="shared" ref="I311:I367" si="101">F311*H311</f>
        <v>0</v>
      </c>
      <c r="J311" s="17"/>
      <c r="K311" s="12">
        <f t="shared" ref="K311:K367" si="102">F311*J311</f>
        <v>0</v>
      </c>
      <c r="L311" s="12"/>
      <c r="M311" s="19"/>
      <c r="N311" s="19">
        <f t="shared" ref="N311:N367" si="103">M311*$U$2</f>
        <v>0</v>
      </c>
      <c r="O311" s="19">
        <f t="shared" ref="O311:O367" si="104">J311*N311</f>
        <v>0</v>
      </c>
      <c r="P311" s="19">
        <f t="shared" ref="P311:P367" si="105">F311*O311</f>
        <v>0</v>
      </c>
      <c r="Q311" s="19">
        <f t="shared" ref="Q311:Q367" si="106">I311+P311</f>
        <v>0</v>
      </c>
      <c r="R311" s="52"/>
      <c r="S311" s="14"/>
    </row>
    <row r="312" spans="2:19" x14ac:dyDescent="0.25">
      <c r="B312" s="70" t="str">
        <f>IF(F312&lt;&gt;"",1+MAX($B$22:B311),"")</f>
        <v/>
      </c>
      <c r="C312" s="71"/>
      <c r="D312" s="72" t="s">
        <v>91</v>
      </c>
      <c r="E312" s="25"/>
      <c r="F312" s="41"/>
      <c r="G312" s="19"/>
      <c r="H312" s="19">
        <f t="shared" si="100"/>
        <v>0</v>
      </c>
      <c r="I312" s="19">
        <f t="shared" si="101"/>
        <v>0</v>
      </c>
      <c r="J312" s="17"/>
      <c r="K312" s="12">
        <f t="shared" si="102"/>
        <v>0</v>
      </c>
      <c r="L312" s="12"/>
      <c r="M312" s="19"/>
      <c r="N312" s="19">
        <f t="shared" si="103"/>
        <v>0</v>
      </c>
      <c r="O312" s="19">
        <f t="shared" si="104"/>
        <v>0</v>
      </c>
      <c r="P312" s="19">
        <f t="shared" si="105"/>
        <v>0</v>
      </c>
      <c r="Q312" s="19">
        <f t="shared" si="106"/>
        <v>0</v>
      </c>
      <c r="R312" s="52"/>
    </row>
    <row r="313" spans="2:19" x14ac:dyDescent="0.25">
      <c r="B313" s="51" t="str">
        <f>IF(F313&lt;&gt;"",1+MAX($B$22:B312),"")</f>
        <v/>
      </c>
      <c r="C313" s="55"/>
      <c r="D313" s="53"/>
      <c r="E313" s="25"/>
      <c r="F313" s="41"/>
      <c r="G313" s="19"/>
      <c r="H313" s="19">
        <f t="shared" si="100"/>
        <v>0</v>
      </c>
      <c r="I313" s="19">
        <f t="shared" si="101"/>
        <v>0</v>
      </c>
      <c r="J313" s="17"/>
      <c r="K313" s="12">
        <f t="shared" si="102"/>
        <v>0</v>
      </c>
      <c r="L313" s="12"/>
      <c r="M313" s="19"/>
      <c r="N313" s="19">
        <f t="shared" si="103"/>
        <v>0</v>
      </c>
      <c r="O313" s="19">
        <f t="shared" si="104"/>
        <v>0</v>
      </c>
      <c r="P313" s="19">
        <f t="shared" si="105"/>
        <v>0</v>
      </c>
      <c r="Q313" s="19">
        <f t="shared" si="106"/>
        <v>0</v>
      </c>
      <c r="R313" s="52"/>
    </row>
    <row r="314" spans="2:19" x14ac:dyDescent="0.25">
      <c r="B314" s="51" t="str">
        <f>IF(F314&lt;&gt;"",1+MAX($B$22:B313),"")</f>
        <v/>
      </c>
      <c r="C314" s="55"/>
      <c r="D314" s="53" t="s">
        <v>409</v>
      </c>
      <c r="E314" s="25"/>
      <c r="F314" s="41"/>
      <c r="G314" s="19"/>
      <c r="H314" s="19">
        <f t="shared" si="100"/>
        <v>0</v>
      </c>
      <c r="I314" s="19">
        <f t="shared" si="101"/>
        <v>0</v>
      </c>
      <c r="J314" s="17"/>
      <c r="K314" s="12">
        <f t="shared" si="102"/>
        <v>0</v>
      </c>
      <c r="L314" s="12"/>
      <c r="M314" s="19"/>
      <c r="N314" s="19">
        <f t="shared" si="103"/>
        <v>0</v>
      </c>
      <c r="O314" s="19">
        <f t="shared" si="104"/>
        <v>0</v>
      </c>
      <c r="P314" s="19">
        <f t="shared" si="105"/>
        <v>0</v>
      </c>
      <c r="Q314" s="19">
        <f t="shared" si="106"/>
        <v>0</v>
      </c>
      <c r="R314" s="52"/>
    </row>
    <row r="315" spans="2:19" ht="13.95" customHeight="1" x14ac:dyDescent="0.25">
      <c r="B315" s="51">
        <f>IF(F315&lt;&gt;"",1+MAX($B$22:B314),"")</f>
        <v>154</v>
      </c>
      <c r="C315" s="132" t="s">
        <v>344</v>
      </c>
      <c r="D315" s="10" t="s">
        <v>410</v>
      </c>
      <c r="E315" s="25" t="s">
        <v>90</v>
      </c>
      <c r="F315" s="25">
        <v>1</v>
      </c>
      <c r="G315" s="19">
        <v>590</v>
      </c>
      <c r="H315" s="19">
        <f t="shared" si="100"/>
        <v>600.62</v>
      </c>
      <c r="I315" s="19">
        <f t="shared" si="101"/>
        <v>600.62</v>
      </c>
      <c r="J315" s="17">
        <v>4.8293333333333335</v>
      </c>
      <c r="K315" s="12">
        <f t="shared" si="102"/>
        <v>4.8293333333333335</v>
      </c>
      <c r="L315" s="97" t="s">
        <v>632</v>
      </c>
      <c r="M315" s="98">
        <v>53.15</v>
      </c>
      <c r="N315" s="19">
        <f t="shared" si="103"/>
        <v>44.220799999999997</v>
      </c>
      <c r="O315" s="19">
        <f t="shared" si="104"/>
        <v>213.55698346666665</v>
      </c>
      <c r="P315" s="19">
        <f t="shared" si="105"/>
        <v>213.55698346666665</v>
      </c>
      <c r="Q315" s="19">
        <f t="shared" si="106"/>
        <v>814.17698346666668</v>
      </c>
      <c r="R315" s="52"/>
    </row>
    <row r="316" spans="2:19" x14ac:dyDescent="0.25">
      <c r="B316" s="51">
        <f>IF(F316&lt;&gt;"",1+MAX($B$22:B315),"")</f>
        <v>155</v>
      </c>
      <c r="C316" s="132"/>
      <c r="D316" s="10" t="s">
        <v>411</v>
      </c>
      <c r="E316" s="25" t="s">
        <v>90</v>
      </c>
      <c r="F316" s="25">
        <v>4</v>
      </c>
      <c r="G316" s="19">
        <v>690</v>
      </c>
      <c r="H316" s="19">
        <f t="shared" si="100"/>
        <v>702.42</v>
      </c>
      <c r="I316" s="19">
        <f t="shared" si="101"/>
        <v>2809.68</v>
      </c>
      <c r="J316" s="17">
        <v>5.6334173333333348</v>
      </c>
      <c r="K316" s="12">
        <f t="shared" si="102"/>
        <v>22.533669333333339</v>
      </c>
      <c r="L316" s="97" t="s">
        <v>632</v>
      </c>
      <c r="M316" s="98">
        <v>53.15</v>
      </c>
      <c r="N316" s="19">
        <f t="shared" si="103"/>
        <v>44.220799999999997</v>
      </c>
      <c r="O316" s="19">
        <f t="shared" si="104"/>
        <v>249.11422121386673</v>
      </c>
      <c r="P316" s="19">
        <f t="shared" si="105"/>
        <v>996.45688485546691</v>
      </c>
      <c r="Q316" s="19">
        <f t="shared" si="106"/>
        <v>3806.1368848554666</v>
      </c>
      <c r="R316" s="52"/>
    </row>
    <row r="317" spans="2:19" x14ac:dyDescent="0.25">
      <c r="B317" s="51">
        <f>IF(F317&lt;&gt;"",1+MAX($B$22:B316),"")</f>
        <v>156</v>
      </c>
      <c r="C317" s="132"/>
      <c r="D317" s="10" t="s">
        <v>412</v>
      </c>
      <c r="E317" s="25" t="s">
        <v>90</v>
      </c>
      <c r="F317" s="25">
        <v>1</v>
      </c>
      <c r="G317" s="19">
        <v>740</v>
      </c>
      <c r="H317" s="19">
        <f t="shared" si="100"/>
        <v>753.32</v>
      </c>
      <c r="I317" s="19">
        <f t="shared" si="101"/>
        <v>753.32</v>
      </c>
      <c r="J317" s="17">
        <v>6.0366666666666671</v>
      </c>
      <c r="K317" s="12">
        <f t="shared" si="102"/>
        <v>6.0366666666666671</v>
      </c>
      <c r="L317" s="97" t="s">
        <v>632</v>
      </c>
      <c r="M317" s="98">
        <v>53.15</v>
      </c>
      <c r="N317" s="19">
        <f t="shared" si="103"/>
        <v>44.220799999999997</v>
      </c>
      <c r="O317" s="19">
        <f t="shared" si="104"/>
        <v>266.94622933333335</v>
      </c>
      <c r="P317" s="19">
        <f t="shared" si="105"/>
        <v>266.94622933333335</v>
      </c>
      <c r="Q317" s="19">
        <f t="shared" si="106"/>
        <v>1020.2662293333334</v>
      </c>
      <c r="R317" s="52"/>
    </row>
    <row r="318" spans="2:19" x14ac:dyDescent="0.25">
      <c r="B318" s="51">
        <f>IF(F318&lt;&gt;"",1+MAX($B$22:B317),"")</f>
        <v>157</v>
      </c>
      <c r="C318" s="132"/>
      <c r="D318" s="10" t="s">
        <v>413</v>
      </c>
      <c r="E318" s="25" t="s">
        <v>90</v>
      </c>
      <c r="F318" s="25">
        <v>6</v>
      </c>
      <c r="G318" s="19">
        <v>785</v>
      </c>
      <c r="H318" s="19">
        <f t="shared" si="100"/>
        <v>799.13</v>
      </c>
      <c r="I318" s="19">
        <f t="shared" si="101"/>
        <v>4794.78</v>
      </c>
      <c r="J318" s="17">
        <v>6.4399159999999993</v>
      </c>
      <c r="K318" s="12">
        <f t="shared" si="102"/>
        <v>38.639495999999994</v>
      </c>
      <c r="L318" s="97" t="s">
        <v>632</v>
      </c>
      <c r="M318" s="98">
        <v>53.15</v>
      </c>
      <c r="N318" s="19">
        <f t="shared" si="103"/>
        <v>44.220799999999997</v>
      </c>
      <c r="O318" s="19">
        <f t="shared" si="104"/>
        <v>284.77823745279994</v>
      </c>
      <c r="P318" s="19">
        <f t="shared" si="105"/>
        <v>1708.6694247167998</v>
      </c>
      <c r="Q318" s="19">
        <f t="shared" si="106"/>
        <v>6503.4494247167995</v>
      </c>
      <c r="R318" s="52"/>
    </row>
    <row r="319" spans="2:19" x14ac:dyDescent="0.25">
      <c r="B319" s="51">
        <f>IF(F319&lt;&gt;"",1+MAX($B$22:B318),"")</f>
        <v>158</v>
      </c>
      <c r="C319" s="132"/>
      <c r="D319" s="10" t="s">
        <v>414</v>
      </c>
      <c r="E319" s="25" t="s">
        <v>90</v>
      </c>
      <c r="F319" s="25">
        <v>1</v>
      </c>
      <c r="G319" s="19">
        <v>885</v>
      </c>
      <c r="H319" s="19">
        <f t="shared" si="100"/>
        <v>900.93000000000006</v>
      </c>
      <c r="I319" s="19">
        <f t="shared" si="101"/>
        <v>900.93000000000006</v>
      </c>
      <c r="J319" s="17">
        <v>7.2439999999999998</v>
      </c>
      <c r="K319" s="12">
        <f t="shared" si="102"/>
        <v>7.2439999999999998</v>
      </c>
      <c r="L319" s="97" t="s">
        <v>632</v>
      </c>
      <c r="M319" s="98">
        <v>53.15</v>
      </c>
      <c r="N319" s="19">
        <f t="shared" si="103"/>
        <v>44.220799999999997</v>
      </c>
      <c r="O319" s="19">
        <f t="shared" si="104"/>
        <v>320.33547519999996</v>
      </c>
      <c r="P319" s="19">
        <f t="shared" si="105"/>
        <v>320.33547519999996</v>
      </c>
      <c r="Q319" s="19">
        <f t="shared" si="106"/>
        <v>1221.2654752000001</v>
      </c>
      <c r="R319" s="52"/>
    </row>
    <row r="320" spans="2:19" ht="27.6" x14ac:dyDescent="0.25">
      <c r="B320" s="51">
        <f>IF(F320&lt;&gt;"",1+MAX($B$22:B319),"")</f>
        <v>159</v>
      </c>
      <c r="C320" s="132"/>
      <c r="D320" s="10" t="s">
        <v>415</v>
      </c>
      <c r="E320" s="25" t="s">
        <v>90</v>
      </c>
      <c r="F320" s="25">
        <v>4</v>
      </c>
      <c r="G320" s="19">
        <v>885</v>
      </c>
      <c r="H320" s="19">
        <f t="shared" si="100"/>
        <v>900.93000000000006</v>
      </c>
      <c r="I320" s="19">
        <f t="shared" si="101"/>
        <v>3603.7200000000003</v>
      </c>
      <c r="J320" s="17">
        <v>7.2439999999999998</v>
      </c>
      <c r="K320" s="12">
        <f t="shared" si="102"/>
        <v>28.975999999999999</v>
      </c>
      <c r="L320" s="97" t="s">
        <v>632</v>
      </c>
      <c r="M320" s="98">
        <v>53.15</v>
      </c>
      <c r="N320" s="19">
        <f t="shared" si="103"/>
        <v>44.220799999999997</v>
      </c>
      <c r="O320" s="19">
        <f t="shared" si="104"/>
        <v>320.33547519999996</v>
      </c>
      <c r="P320" s="19">
        <f t="shared" si="105"/>
        <v>1281.3419007999998</v>
      </c>
      <c r="Q320" s="19">
        <f t="shared" si="106"/>
        <v>4885.0619008000003</v>
      </c>
      <c r="R320" s="52"/>
    </row>
    <row r="321" spans="2:18" ht="27.6" x14ac:dyDescent="0.25">
      <c r="B321" s="51">
        <f>IF(F321&lt;&gt;"",1+MAX($B$22:B320),"")</f>
        <v>160</v>
      </c>
      <c r="C321" s="132"/>
      <c r="D321" s="10" t="s">
        <v>416</v>
      </c>
      <c r="E321" s="25" t="s">
        <v>90</v>
      </c>
      <c r="F321" s="25">
        <v>4</v>
      </c>
      <c r="G321" s="19">
        <v>340</v>
      </c>
      <c r="H321" s="19">
        <f t="shared" si="100"/>
        <v>346.12</v>
      </c>
      <c r="I321" s="19">
        <f t="shared" si="101"/>
        <v>1384.48</v>
      </c>
      <c r="J321" s="17">
        <v>2.7596190476190476</v>
      </c>
      <c r="K321" s="12">
        <f t="shared" si="102"/>
        <v>11.038476190476191</v>
      </c>
      <c r="L321" s="97" t="s">
        <v>632</v>
      </c>
      <c r="M321" s="98">
        <v>53.15</v>
      </c>
      <c r="N321" s="19">
        <f t="shared" si="103"/>
        <v>44.220799999999997</v>
      </c>
      <c r="O321" s="19">
        <f t="shared" si="104"/>
        <v>122.03256198095238</v>
      </c>
      <c r="P321" s="19">
        <f t="shared" si="105"/>
        <v>488.13024792380952</v>
      </c>
      <c r="Q321" s="19">
        <f t="shared" si="106"/>
        <v>1872.6102479238095</v>
      </c>
      <c r="R321" s="52"/>
    </row>
    <row r="322" spans="2:18" ht="27.6" x14ac:dyDescent="0.25">
      <c r="B322" s="51">
        <f>IF(F322&lt;&gt;"",1+MAX($B$22:B321),"")</f>
        <v>161</v>
      </c>
      <c r="C322" s="132"/>
      <c r="D322" s="10" t="s">
        <v>417</v>
      </c>
      <c r="E322" s="25" t="s">
        <v>90</v>
      </c>
      <c r="F322" s="25">
        <v>1</v>
      </c>
      <c r="G322" s="19">
        <v>640</v>
      </c>
      <c r="H322" s="19">
        <f t="shared" si="100"/>
        <v>651.52</v>
      </c>
      <c r="I322" s="19">
        <f t="shared" si="101"/>
        <v>651.52</v>
      </c>
      <c r="J322" s="17">
        <v>5.2310303809523813</v>
      </c>
      <c r="K322" s="12">
        <f t="shared" si="102"/>
        <v>5.2310303809523813</v>
      </c>
      <c r="L322" s="97" t="s">
        <v>632</v>
      </c>
      <c r="M322" s="98">
        <v>53.15</v>
      </c>
      <c r="N322" s="19">
        <f t="shared" si="103"/>
        <v>44.220799999999997</v>
      </c>
      <c r="O322" s="19">
        <f t="shared" si="104"/>
        <v>231.32034827001905</v>
      </c>
      <c r="P322" s="19">
        <f t="shared" si="105"/>
        <v>231.32034827001905</v>
      </c>
      <c r="Q322" s="19">
        <f t="shared" si="106"/>
        <v>882.84034827001904</v>
      </c>
      <c r="R322" s="52"/>
    </row>
    <row r="323" spans="2:18" x14ac:dyDescent="0.25">
      <c r="B323" s="51">
        <f>IF(F323&lt;&gt;"",1+MAX($B$22:B322),"")</f>
        <v>162</v>
      </c>
      <c r="C323" s="132"/>
      <c r="D323" s="10" t="s">
        <v>616</v>
      </c>
      <c r="E323" s="25" t="s">
        <v>90</v>
      </c>
      <c r="F323" s="25">
        <v>1</v>
      </c>
      <c r="G323" s="19">
        <v>740</v>
      </c>
      <c r="H323" s="19">
        <f t="shared" si="100"/>
        <v>753.32</v>
      </c>
      <c r="I323" s="19">
        <f t="shared" si="101"/>
        <v>753.32</v>
      </c>
      <c r="J323" s="17">
        <v>6.0366666666666671</v>
      </c>
      <c r="K323" s="12">
        <f t="shared" si="102"/>
        <v>6.0366666666666671</v>
      </c>
      <c r="L323" s="97" t="s">
        <v>632</v>
      </c>
      <c r="M323" s="98">
        <v>53.15</v>
      </c>
      <c r="N323" s="19">
        <f t="shared" si="103"/>
        <v>44.220799999999997</v>
      </c>
      <c r="O323" s="19">
        <f t="shared" si="104"/>
        <v>266.94622933333335</v>
      </c>
      <c r="P323" s="19">
        <f t="shared" si="105"/>
        <v>266.94622933333335</v>
      </c>
      <c r="Q323" s="19">
        <f t="shared" si="106"/>
        <v>1020.2662293333334</v>
      </c>
      <c r="R323" s="52"/>
    </row>
    <row r="324" spans="2:18" x14ac:dyDescent="0.25">
      <c r="B324" s="51">
        <f>IF(F324&lt;&gt;"",1+MAX($B$22:B323),"")</f>
        <v>163</v>
      </c>
      <c r="C324" s="132"/>
      <c r="D324" s="10" t="s">
        <v>615</v>
      </c>
      <c r="E324" s="25" t="s">
        <v>90</v>
      </c>
      <c r="F324" s="25">
        <v>2</v>
      </c>
      <c r="G324" s="19">
        <v>395</v>
      </c>
      <c r="H324" s="19">
        <f t="shared" si="100"/>
        <v>402.11</v>
      </c>
      <c r="I324" s="19">
        <f t="shared" si="101"/>
        <v>804.22</v>
      </c>
      <c r="J324" s="17">
        <v>3.2187506666666663</v>
      </c>
      <c r="K324" s="12">
        <f t="shared" si="102"/>
        <v>6.4375013333333326</v>
      </c>
      <c r="L324" s="97" t="s">
        <v>632</v>
      </c>
      <c r="M324" s="98">
        <v>53.15</v>
      </c>
      <c r="N324" s="19">
        <f t="shared" si="103"/>
        <v>44.220799999999997</v>
      </c>
      <c r="O324" s="19">
        <f t="shared" si="104"/>
        <v>142.3357294805333</v>
      </c>
      <c r="P324" s="19">
        <f t="shared" si="105"/>
        <v>284.67145896106661</v>
      </c>
      <c r="Q324" s="19">
        <f t="shared" si="106"/>
        <v>1088.8914589610667</v>
      </c>
      <c r="R324" s="52"/>
    </row>
    <row r="325" spans="2:18" x14ac:dyDescent="0.25">
      <c r="B325" s="51" t="str">
        <f>IF(F325&lt;&gt;"",1+MAX($B$22:B324),"")</f>
        <v/>
      </c>
      <c r="C325" s="132"/>
      <c r="D325" s="10"/>
      <c r="E325" s="25"/>
      <c r="F325" s="41"/>
      <c r="G325" s="19"/>
      <c r="H325" s="19">
        <f t="shared" si="100"/>
        <v>0</v>
      </c>
      <c r="I325" s="19">
        <f t="shared" si="101"/>
        <v>0</v>
      </c>
      <c r="J325" s="17"/>
      <c r="K325" s="12">
        <f t="shared" si="102"/>
        <v>0</v>
      </c>
      <c r="L325" s="12"/>
      <c r="M325" s="19"/>
      <c r="N325" s="19">
        <f t="shared" si="103"/>
        <v>0</v>
      </c>
      <c r="O325" s="19">
        <f t="shared" si="104"/>
        <v>0</v>
      </c>
      <c r="P325" s="19">
        <f t="shared" si="105"/>
        <v>0</v>
      </c>
      <c r="Q325" s="19">
        <f t="shared" si="106"/>
        <v>0</v>
      </c>
      <c r="R325" s="52"/>
    </row>
    <row r="326" spans="2:18" x14ac:dyDescent="0.25">
      <c r="B326" s="51" t="str">
        <f>IF(F326&lt;&gt;"",1+MAX($B$22:B325),"")</f>
        <v/>
      </c>
      <c r="C326" s="132"/>
      <c r="D326" s="53" t="s">
        <v>92</v>
      </c>
      <c r="E326" s="25"/>
      <c r="F326" s="41"/>
      <c r="G326" s="19"/>
      <c r="H326" s="19">
        <f t="shared" si="100"/>
        <v>0</v>
      </c>
      <c r="I326" s="19">
        <f t="shared" si="101"/>
        <v>0</v>
      </c>
      <c r="J326" s="17"/>
      <c r="K326" s="12">
        <f t="shared" si="102"/>
        <v>0</v>
      </c>
      <c r="L326" s="12"/>
      <c r="M326" s="19"/>
      <c r="N326" s="19">
        <f t="shared" si="103"/>
        <v>0</v>
      </c>
      <c r="O326" s="19">
        <f t="shared" si="104"/>
        <v>0</v>
      </c>
      <c r="P326" s="19">
        <f t="shared" si="105"/>
        <v>0</v>
      </c>
      <c r="Q326" s="19">
        <f t="shared" si="106"/>
        <v>0</v>
      </c>
      <c r="R326" s="52"/>
    </row>
    <row r="327" spans="2:18" x14ac:dyDescent="0.25">
      <c r="B327" s="51">
        <f>IF(F327&lt;&gt;"",1+MAX($B$22:B326),"")</f>
        <v>164</v>
      </c>
      <c r="C327" s="132"/>
      <c r="D327" s="10" t="s">
        <v>418</v>
      </c>
      <c r="E327" s="25" t="s">
        <v>90</v>
      </c>
      <c r="F327" s="25">
        <v>2</v>
      </c>
      <c r="G327" s="19">
        <v>7550</v>
      </c>
      <c r="H327" s="19">
        <f t="shared" si="100"/>
        <v>7685.9000000000005</v>
      </c>
      <c r="I327" s="19">
        <f t="shared" si="101"/>
        <v>15371.800000000001</v>
      </c>
      <c r="J327" s="17">
        <v>24.966883333333332</v>
      </c>
      <c r="K327" s="12">
        <f t="shared" si="102"/>
        <v>49.933766666666664</v>
      </c>
      <c r="L327" s="97" t="s">
        <v>632</v>
      </c>
      <c r="M327" s="98">
        <v>53.15</v>
      </c>
      <c r="N327" s="19">
        <f t="shared" si="103"/>
        <v>44.220799999999997</v>
      </c>
      <c r="O327" s="19">
        <f t="shared" si="104"/>
        <v>1104.0555545066666</v>
      </c>
      <c r="P327" s="19">
        <f t="shared" si="105"/>
        <v>2208.1111090133331</v>
      </c>
      <c r="Q327" s="19">
        <f t="shared" si="106"/>
        <v>17579.911109013334</v>
      </c>
      <c r="R327" s="52"/>
    </row>
    <row r="328" spans="2:18" x14ac:dyDescent="0.25">
      <c r="B328" s="51">
        <f>IF(F328&lt;&gt;"",1+MAX($B$22:B327),"")</f>
        <v>165</v>
      </c>
      <c r="C328" s="132"/>
      <c r="D328" s="10" t="s">
        <v>419</v>
      </c>
      <c r="E328" s="25" t="s">
        <v>90</v>
      </c>
      <c r="F328" s="25">
        <v>1</v>
      </c>
      <c r="G328" s="19">
        <v>2500</v>
      </c>
      <c r="H328" s="19">
        <f t="shared" si="100"/>
        <v>2545</v>
      </c>
      <c r="I328" s="19">
        <f t="shared" si="101"/>
        <v>2545</v>
      </c>
      <c r="J328" s="17">
        <v>8.2716369999999984</v>
      </c>
      <c r="K328" s="12">
        <f t="shared" si="102"/>
        <v>8.2716369999999984</v>
      </c>
      <c r="L328" s="97" t="s">
        <v>632</v>
      </c>
      <c r="M328" s="98">
        <v>53.15</v>
      </c>
      <c r="N328" s="19">
        <f t="shared" si="103"/>
        <v>44.220799999999997</v>
      </c>
      <c r="O328" s="19">
        <f t="shared" si="104"/>
        <v>365.77840544959992</v>
      </c>
      <c r="P328" s="19">
        <f t="shared" si="105"/>
        <v>365.77840544959992</v>
      </c>
      <c r="Q328" s="19">
        <f t="shared" si="106"/>
        <v>2910.7784054496001</v>
      </c>
      <c r="R328" s="52"/>
    </row>
    <row r="329" spans="2:18" x14ac:dyDescent="0.25">
      <c r="B329" s="51">
        <f>IF(F329&lt;&gt;"",1+MAX($B$22:B328),"")</f>
        <v>166</v>
      </c>
      <c r="C329" s="132"/>
      <c r="D329" s="10" t="s">
        <v>420</v>
      </c>
      <c r="E329" s="25" t="s">
        <v>90</v>
      </c>
      <c r="F329" s="25">
        <v>2</v>
      </c>
      <c r="G329" s="19">
        <v>2175</v>
      </c>
      <c r="H329" s="19">
        <f t="shared" si="100"/>
        <v>2214.15</v>
      </c>
      <c r="I329" s="19">
        <f t="shared" si="101"/>
        <v>4428.3</v>
      </c>
      <c r="J329" s="17">
        <v>7.2357439523809521</v>
      </c>
      <c r="K329" s="12">
        <f t="shared" si="102"/>
        <v>14.471487904761904</v>
      </c>
      <c r="L329" s="97" t="s">
        <v>632</v>
      </c>
      <c r="M329" s="98">
        <v>53.15</v>
      </c>
      <c r="N329" s="19">
        <f t="shared" si="103"/>
        <v>44.220799999999997</v>
      </c>
      <c r="O329" s="19">
        <f t="shared" si="104"/>
        <v>319.97038616944758</v>
      </c>
      <c r="P329" s="19">
        <f t="shared" si="105"/>
        <v>639.94077233889516</v>
      </c>
      <c r="Q329" s="19">
        <f t="shared" si="106"/>
        <v>5068.2407723388951</v>
      </c>
      <c r="R329" s="52"/>
    </row>
    <row r="330" spans="2:18" ht="27.6" x14ac:dyDescent="0.25">
      <c r="B330" s="51">
        <f>IF(F330&lt;&gt;"",1+MAX($B$22:B329),"")</f>
        <v>167</v>
      </c>
      <c r="C330" s="132"/>
      <c r="D330" s="10" t="s">
        <v>421</v>
      </c>
      <c r="E330" s="25" t="s">
        <v>90</v>
      </c>
      <c r="F330" s="25">
        <v>1</v>
      </c>
      <c r="G330" s="19">
        <v>8550</v>
      </c>
      <c r="H330" s="19">
        <f t="shared" si="100"/>
        <v>8703.9</v>
      </c>
      <c r="I330" s="19">
        <f t="shared" si="101"/>
        <v>8703.9</v>
      </c>
      <c r="J330" s="17">
        <v>28.300970238095232</v>
      </c>
      <c r="K330" s="12">
        <f t="shared" si="102"/>
        <v>28.300970238095232</v>
      </c>
      <c r="L330" s="97" t="s">
        <v>632</v>
      </c>
      <c r="M330" s="98">
        <v>53.15</v>
      </c>
      <c r="N330" s="19">
        <f t="shared" si="103"/>
        <v>44.220799999999997</v>
      </c>
      <c r="O330" s="19">
        <f t="shared" si="104"/>
        <v>1251.4915447047615</v>
      </c>
      <c r="P330" s="19">
        <f t="shared" si="105"/>
        <v>1251.4915447047615</v>
      </c>
      <c r="Q330" s="19">
        <f t="shared" si="106"/>
        <v>9955.3915447047621</v>
      </c>
      <c r="R330" s="52"/>
    </row>
    <row r="331" spans="2:18" x14ac:dyDescent="0.25">
      <c r="B331" s="51">
        <f>IF(F331&lt;&gt;"",1+MAX($B$22:B330),"")</f>
        <v>168</v>
      </c>
      <c r="C331" s="132"/>
      <c r="D331" s="10" t="s">
        <v>422</v>
      </c>
      <c r="E331" s="25" t="s">
        <v>90</v>
      </c>
      <c r="F331" s="25">
        <v>1</v>
      </c>
      <c r="G331" s="19">
        <v>2850</v>
      </c>
      <c r="H331" s="19">
        <f t="shared" si="100"/>
        <v>2901.3</v>
      </c>
      <c r="I331" s="19">
        <f t="shared" si="101"/>
        <v>2901.3</v>
      </c>
      <c r="J331" s="17">
        <v>9.5618510952380937</v>
      </c>
      <c r="K331" s="12">
        <f t="shared" si="102"/>
        <v>9.5618510952380937</v>
      </c>
      <c r="L331" s="97" t="s">
        <v>632</v>
      </c>
      <c r="M331" s="98">
        <v>53.15</v>
      </c>
      <c r="N331" s="19">
        <f t="shared" si="103"/>
        <v>44.220799999999997</v>
      </c>
      <c r="O331" s="19">
        <f t="shared" si="104"/>
        <v>422.83270491230468</v>
      </c>
      <c r="P331" s="19">
        <f t="shared" si="105"/>
        <v>422.83270491230468</v>
      </c>
      <c r="Q331" s="19">
        <f t="shared" si="106"/>
        <v>3324.1327049123047</v>
      </c>
      <c r="R331" s="52"/>
    </row>
    <row r="332" spans="2:18" ht="27.6" x14ac:dyDescent="0.25">
      <c r="B332" s="51">
        <f>IF(F332&lt;&gt;"",1+MAX($B$22:B331),"")</f>
        <v>169</v>
      </c>
      <c r="C332" s="132"/>
      <c r="D332" s="10" t="s">
        <v>423</v>
      </c>
      <c r="E332" s="25" t="s">
        <v>90</v>
      </c>
      <c r="F332" s="25">
        <v>1</v>
      </c>
      <c r="G332" s="19">
        <v>9620</v>
      </c>
      <c r="H332" s="19">
        <f t="shared" si="100"/>
        <v>9793.16</v>
      </c>
      <c r="I332" s="19">
        <f t="shared" si="101"/>
        <v>9793.16</v>
      </c>
      <c r="J332" s="17">
        <v>31.857113095238095</v>
      </c>
      <c r="K332" s="12">
        <f t="shared" si="102"/>
        <v>31.857113095238095</v>
      </c>
      <c r="L332" s="97" t="s">
        <v>632</v>
      </c>
      <c r="M332" s="98">
        <v>53.15</v>
      </c>
      <c r="N332" s="19">
        <f t="shared" si="103"/>
        <v>44.220799999999997</v>
      </c>
      <c r="O332" s="19">
        <f t="shared" si="104"/>
        <v>1408.7470267619046</v>
      </c>
      <c r="P332" s="19">
        <f t="shared" si="105"/>
        <v>1408.7470267619046</v>
      </c>
      <c r="Q332" s="19">
        <f t="shared" si="106"/>
        <v>11201.907026761904</v>
      </c>
      <c r="R332" s="52"/>
    </row>
    <row r="333" spans="2:18" ht="27.6" x14ac:dyDescent="0.25">
      <c r="B333" s="51">
        <f>IF(F333&lt;&gt;"",1+MAX($B$22:B332),"")</f>
        <v>170</v>
      </c>
      <c r="C333" s="132"/>
      <c r="D333" s="10" t="s">
        <v>424</v>
      </c>
      <c r="E333" s="25" t="s">
        <v>90</v>
      </c>
      <c r="F333" s="25">
        <v>1</v>
      </c>
      <c r="G333" s="19">
        <v>11250</v>
      </c>
      <c r="H333" s="19">
        <f t="shared" si="100"/>
        <v>11452.5</v>
      </c>
      <c r="I333" s="19">
        <f t="shared" si="101"/>
        <v>11452.5</v>
      </c>
      <c r="J333" s="17">
        <v>37.372788095238093</v>
      </c>
      <c r="K333" s="12">
        <f t="shared" si="102"/>
        <v>37.372788095238093</v>
      </c>
      <c r="L333" s="97" t="s">
        <v>632</v>
      </c>
      <c r="M333" s="98">
        <v>53.15</v>
      </c>
      <c r="N333" s="19">
        <f t="shared" si="103"/>
        <v>44.220799999999997</v>
      </c>
      <c r="O333" s="19">
        <f t="shared" si="104"/>
        <v>1652.6545878019047</v>
      </c>
      <c r="P333" s="19">
        <f t="shared" si="105"/>
        <v>1652.6545878019047</v>
      </c>
      <c r="Q333" s="19">
        <f t="shared" si="106"/>
        <v>13105.154587801904</v>
      </c>
      <c r="R333" s="52"/>
    </row>
    <row r="334" spans="2:18" x14ac:dyDescent="0.25">
      <c r="B334" s="51">
        <f>IF(F334&lt;&gt;"",1+MAX($B$22:B333),"")</f>
        <v>171</v>
      </c>
      <c r="C334" s="132"/>
      <c r="D334" s="10" t="s">
        <v>425</v>
      </c>
      <c r="E334" s="25" t="s">
        <v>90</v>
      </c>
      <c r="F334" s="25">
        <v>1</v>
      </c>
      <c r="G334" s="19">
        <v>2800</v>
      </c>
      <c r="H334" s="19">
        <f t="shared" si="100"/>
        <v>2850.4</v>
      </c>
      <c r="I334" s="19">
        <f t="shared" si="101"/>
        <v>2850.4</v>
      </c>
      <c r="J334" s="17">
        <v>9.3531428571428563</v>
      </c>
      <c r="K334" s="12">
        <f t="shared" si="102"/>
        <v>9.3531428571428563</v>
      </c>
      <c r="L334" s="97" t="s">
        <v>632</v>
      </c>
      <c r="M334" s="98">
        <v>53.15</v>
      </c>
      <c r="N334" s="19">
        <f t="shared" si="103"/>
        <v>44.220799999999997</v>
      </c>
      <c r="O334" s="19">
        <f t="shared" si="104"/>
        <v>413.60345965714276</v>
      </c>
      <c r="P334" s="19">
        <f t="shared" si="105"/>
        <v>413.60345965714276</v>
      </c>
      <c r="Q334" s="19">
        <f t="shared" si="106"/>
        <v>3264.0034596571427</v>
      </c>
      <c r="R334" s="52"/>
    </row>
    <row r="335" spans="2:18" x14ac:dyDescent="0.25">
      <c r="B335" s="51" t="str">
        <f>IF(F335&lt;&gt;"",1+MAX($B$22:B334),"")</f>
        <v/>
      </c>
      <c r="C335" s="132"/>
      <c r="D335" s="10"/>
      <c r="E335" s="25"/>
      <c r="F335" s="25"/>
      <c r="G335" s="19"/>
      <c r="H335" s="19">
        <f t="shared" si="100"/>
        <v>0</v>
      </c>
      <c r="I335" s="19">
        <f t="shared" si="101"/>
        <v>0</v>
      </c>
      <c r="J335" s="17"/>
      <c r="K335" s="12">
        <f t="shared" si="102"/>
        <v>0</v>
      </c>
      <c r="L335" s="12"/>
      <c r="M335" s="19"/>
      <c r="N335" s="19">
        <f t="shared" si="103"/>
        <v>0</v>
      </c>
      <c r="O335" s="19">
        <f t="shared" si="104"/>
        <v>0</v>
      </c>
      <c r="P335" s="19">
        <f t="shared" si="105"/>
        <v>0</v>
      </c>
      <c r="Q335" s="19">
        <f t="shared" si="106"/>
        <v>0</v>
      </c>
      <c r="R335" s="52"/>
    </row>
    <row r="336" spans="2:18" x14ac:dyDescent="0.25">
      <c r="B336" s="51" t="str">
        <f>IF(F336&lt;&gt;"",1+MAX($B$22:B335),"")</f>
        <v/>
      </c>
      <c r="C336" s="132"/>
      <c r="D336" s="53" t="s">
        <v>426</v>
      </c>
      <c r="E336" s="25"/>
      <c r="F336" s="41"/>
      <c r="G336" s="19"/>
      <c r="H336" s="19">
        <f t="shared" si="100"/>
        <v>0</v>
      </c>
      <c r="I336" s="19">
        <f t="shared" si="101"/>
        <v>0</v>
      </c>
      <c r="J336" s="17"/>
      <c r="K336" s="12">
        <f t="shared" si="102"/>
        <v>0</v>
      </c>
      <c r="L336" s="12"/>
      <c r="M336" s="19"/>
      <c r="N336" s="19">
        <f t="shared" si="103"/>
        <v>0</v>
      </c>
      <c r="O336" s="19">
        <f t="shared" si="104"/>
        <v>0</v>
      </c>
      <c r="P336" s="19">
        <f t="shared" si="105"/>
        <v>0</v>
      </c>
      <c r="Q336" s="19">
        <f t="shared" si="106"/>
        <v>0</v>
      </c>
      <c r="R336" s="52"/>
    </row>
    <row r="337" spans="2:18" ht="27.6" x14ac:dyDescent="0.25">
      <c r="B337" s="51">
        <f>IF(F337&lt;&gt;"",1+MAX($B$22:B336),"")</f>
        <v>172</v>
      </c>
      <c r="C337" s="132"/>
      <c r="D337" s="10" t="s">
        <v>427</v>
      </c>
      <c r="E337" s="25" t="s">
        <v>90</v>
      </c>
      <c r="F337" s="25">
        <v>1</v>
      </c>
      <c r="G337" s="19">
        <v>940</v>
      </c>
      <c r="H337" s="19">
        <f t="shared" si="100"/>
        <v>956.92</v>
      </c>
      <c r="I337" s="19">
        <f t="shared" si="101"/>
        <v>956.92</v>
      </c>
      <c r="J337" s="17">
        <v>5.3639999999999999</v>
      </c>
      <c r="K337" s="12">
        <f t="shared" si="102"/>
        <v>5.3639999999999999</v>
      </c>
      <c r="L337" s="97" t="s">
        <v>651</v>
      </c>
      <c r="M337" s="98">
        <v>52.2</v>
      </c>
      <c r="N337" s="19">
        <f t="shared" si="103"/>
        <v>43.430399999999999</v>
      </c>
      <c r="O337" s="19">
        <f t="shared" si="104"/>
        <v>232.9606656</v>
      </c>
      <c r="P337" s="19">
        <f t="shared" si="105"/>
        <v>232.9606656</v>
      </c>
      <c r="Q337" s="19">
        <f t="shared" si="106"/>
        <v>1189.8806655999999</v>
      </c>
      <c r="R337" s="52"/>
    </row>
    <row r="338" spans="2:18" x14ac:dyDescent="0.25">
      <c r="B338" s="51" t="str">
        <f>IF(F338&lt;&gt;"",1+MAX($B$22:B337),"")</f>
        <v/>
      </c>
      <c r="C338" s="132"/>
      <c r="D338" s="10"/>
      <c r="E338" s="25"/>
      <c r="F338" s="25"/>
      <c r="G338" s="19"/>
      <c r="H338" s="19">
        <f t="shared" si="100"/>
        <v>0</v>
      </c>
      <c r="I338" s="19">
        <f t="shared" si="101"/>
        <v>0</v>
      </c>
      <c r="J338" s="17"/>
      <c r="K338" s="12">
        <f t="shared" si="102"/>
        <v>0</v>
      </c>
      <c r="L338" s="12"/>
      <c r="M338" s="19"/>
      <c r="N338" s="19">
        <f t="shared" si="103"/>
        <v>0</v>
      </c>
      <c r="O338" s="19">
        <f t="shared" si="104"/>
        <v>0</v>
      </c>
      <c r="P338" s="19">
        <f t="shared" si="105"/>
        <v>0</v>
      </c>
      <c r="Q338" s="19">
        <f t="shared" si="106"/>
        <v>0</v>
      </c>
      <c r="R338" s="52"/>
    </row>
    <row r="339" spans="2:18" x14ac:dyDescent="0.25">
      <c r="B339" s="51" t="str">
        <f>IF(F339&lt;&gt;"",1+MAX($B$22:B338),"")</f>
        <v/>
      </c>
      <c r="C339" s="132"/>
      <c r="D339" s="53" t="s">
        <v>428</v>
      </c>
      <c r="E339" s="25"/>
      <c r="F339" s="41"/>
      <c r="G339" s="19"/>
      <c r="H339" s="19">
        <f t="shared" si="100"/>
        <v>0</v>
      </c>
      <c r="I339" s="19">
        <f t="shared" si="101"/>
        <v>0</v>
      </c>
      <c r="J339" s="17"/>
      <c r="K339" s="12">
        <f t="shared" si="102"/>
        <v>0</v>
      </c>
      <c r="L339" s="12"/>
      <c r="M339" s="19"/>
      <c r="N339" s="19">
        <f t="shared" si="103"/>
        <v>0</v>
      </c>
      <c r="O339" s="19">
        <f t="shared" si="104"/>
        <v>0</v>
      </c>
      <c r="P339" s="19">
        <f t="shared" si="105"/>
        <v>0</v>
      </c>
      <c r="Q339" s="19">
        <f t="shared" si="106"/>
        <v>0</v>
      </c>
      <c r="R339" s="52"/>
    </row>
    <row r="340" spans="2:18" x14ac:dyDescent="0.25">
      <c r="B340" s="51">
        <f>IF(F340&lt;&gt;"",1+MAX($B$22:B339),"")</f>
        <v>173</v>
      </c>
      <c r="C340" s="132"/>
      <c r="D340" s="10" t="s">
        <v>615</v>
      </c>
      <c r="E340" s="25" t="s">
        <v>90</v>
      </c>
      <c r="F340" s="25">
        <v>2</v>
      </c>
      <c r="G340" s="19">
        <v>310</v>
      </c>
      <c r="H340" s="19">
        <f t="shared" si="100"/>
        <v>315.58</v>
      </c>
      <c r="I340" s="19">
        <f t="shared" si="101"/>
        <v>631.16</v>
      </c>
      <c r="J340" s="17">
        <v>2.8661721666666664</v>
      </c>
      <c r="K340" s="12">
        <f t="shared" si="102"/>
        <v>5.7323443333333328</v>
      </c>
      <c r="L340" s="97" t="s">
        <v>650</v>
      </c>
      <c r="M340" s="98">
        <v>57.65</v>
      </c>
      <c r="N340" s="19">
        <f t="shared" si="103"/>
        <v>47.964799999999997</v>
      </c>
      <c r="O340" s="19">
        <f t="shared" si="104"/>
        <v>137.47537473973333</v>
      </c>
      <c r="P340" s="19">
        <f t="shared" si="105"/>
        <v>274.95074947946665</v>
      </c>
      <c r="Q340" s="19">
        <f t="shared" si="106"/>
        <v>906.11074947946668</v>
      </c>
      <c r="R340" s="52"/>
    </row>
    <row r="341" spans="2:18" x14ac:dyDescent="0.25">
      <c r="B341" s="51" t="str">
        <f>IF(F341&lt;&gt;"",1+MAX($B$22:B340),"")</f>
        <v/>
      </c>
      <c r="C341" s="132"/>
      <c r="D341" s="10"/>
      <c r="E341" s="25"/>
      <c r="F341" s="41"/>
      <c r="G341" s="19"/>
      <c r="H341" s="19">
        <f t="shared" si="100"/>
        <v>0</v>
      </c>
      <c r="I341" s="19">
        <f t="shared" si="101"/>
        <v>0</v>
      </c>
      <c r="J341" s="17"/>
      <c r="K341" s="12">
        <f t="shared" si="102"/>
        <v>0</v>
      </c>
      <c r="L341" s="12"/>
      <c r="M341" s="19"/>
      <c r="N341" s="19">
        <f t="shared" si="103"/>
        <v>0</v>
      </c>
      <c r="O341" s="19">
        <f t="shared" si="104"/>
        <v>0</v>
      </c>
      <c r="P341" s="19">
        <f t="shared" si="105"/>
        <v>0</v>
      </c>
      <c r="Q341" s="19">
        <f t="shared" si="106"/>
        <v>0</v>
      </c>
      <c r="R341" s="52"/>
    </row>
    <row r="342" spans="2:18" x14ac:dyDescent="0.25">
      <c r="B342" s="51" t="str">
        <f>IF(F342&lt;&gt;"",1+MAX($B$22:B341),"")</f>
        <v/>
      </c>
      <c r="C342" s="132"/>
      <c r="D342" s="53" t="s">
        <v>429</v>
      </c>
      <c r="E342" s="25"/>
      <c r="F342" s="41"/>
      <c r="G342" s="19"/>
      <c r="H342" s="19">
        <f t="shared" si="100"/>
        <v>0</v>
      </c>
      <c r="I342" s="19">
        <f t="shared" si="101"/>
        <v>0</v>
      </c>
      <c r="J342" s="17"/>
      <c r="K342" s="12">
        <f t="shared" si="102"/>
        <v>0</v>
      </c>
      <c r="L342" s="12"/>
      <c r="M342" s="19"/>
      <c r="N342" s="19">
        <f t="shared" si="103"/>
        <v>0</v>
      </c>
      <c r="O342" s="19">
        <f t="shared" si="104"/>
        <v>0</v>
      </c>
      <c r="P342" s="19">
        <f t="shared" si="105"/>
        <v>0</v>
      </c>
      <c r="Q342" s="19">
        <f t="shared" si="106"/>
        <v>0</v>
      </c>
      <c r="R342" s="52"/>
    </row>
    <row r="343" spans="2:18" x14ac:dyDescent="0.25">
      <c r="B343" s="51">
        <f>IF(F343&lt;&gt;"",1+MAX($B$22:B342),"")</f>
        <v>174</v>
      </c>
      <c r="C343" s="132"/>
      <c r="D343" s="10" t="s">
        <v>430</v>
      </c>
      <c r="E343" s="25" t="s">
        <v>90</v>
      </c>
      <c r="F343" s="25">
        <v>1</v>
      </c>
      <c r="G343" s="19">
        <v>290</v>
      </c>
      <c r="H343" s="19">
        <f t="shared" si="100"/>
        <v>295.22000000000003</v>
      </c>
      <c r="I343" s="19">
        <f t="shared" si="101"/>
        <v>295.22000000000003</v>
      </c>
      <c r="J343" s="17">
        <v>2.7149999999999999</v>
      </c>
      <c r="K343" s="12">
        <f t="shared" si="102"/>
        <v>2.7149999999999999</v>
      </c>
      <c r="L343" s="97" t="s">
        <v>632</v>
      </c>
      <c r="M343" s="98">
        <v>53.15</v>
      </c>
      <c r="N343" s="19">
        <f t="shared" si="103"/>
        <v>44.220799999999997</v>
      </c>
      <c r="O343" s="19">
        <f t="shared" si="104"/>
        <v>120.05947199999999</v>
      </c>
      <c r="P343" s="19">
        <f t="shared" si="105"/>
        <v>120.05947199999999</v>
      </c>
      <c r="Q343" s="19">
        <f t="shared" si="106"/>
        <v>415.279472</v>
      </c>
      <c r="R343" s="52"/>
    </row>
    <row r="344" spans="2:18" x14ac:dyDescent="0.25">
      <c r="B344" s="51" t="str">
        <f>IF(F344&lt;&gt;"",1+MAX($B$22:B343),"")</f>
        <v/>
      </c>
      <c r="C344" s="55"/>
      <c r="D344" s="10"/>
      <c r="E344" s="25"/>
      <c r="F344" s="41"/>
      <c r="G344" s="19"/>
      <c r="H344" s="19">
        <f t="shared" si="100"/>
        <v>0</v>
      </c>
      <c r="I344" s="19">
        <f t="shared" si="101"/>
        <v>0</v>
      </c>
      <c r="J344" s="17"/>
      <c r="K344" s="12">
        <f t="shared" si="102"/>
        <v>0</v>
      </c>
      <c r="L344" s="12"/>
      <c r="M344" s="19"/>
      <c r="N344" s="19">
        <f t="shared" si="103"/>
        <v>0</v>
      </c>
      <c r="O344" s="19">
        <f t="shared" si="104"/>
        <v>0</v>
      </c>
      <c r="P344" s="19">
        <f t="shared" si="105"/>
        <v>0</v>
      </c>
      <c r="Q344" s="19">
        <f t="shared" si="106"/>
        <v>0</v>
      </c>
      <c r="R344" s="52"/>
    </row>
    <row r="345" spans="2:18" x14ac:dyDescent="0.25">
      <c r="B345" s="70" t="str">
        <f>IF(F345&lt;&gt;"",1+MAX($B$22:B344),"")</f>
        <v/>
      </c>
      <c r="C345" s="71"/>
      <c r="D345" s="72" t="s">
        <v>431</v>
      </c>
      <c r="E345" s="25"/>
      <c r="F345" s="41"/>
      <c r="G345" s="19"/>
      <c r="H345" s="19">
        <f t="shared" si="100"/>
        <v>0</v>
      </c>
      <c r="I345" s="19">
        <f t="shared" si="101"/>
        <v>0</v>
      </c>
      <c r="J345" s="17"/>
      <c r="K345" s="12">
        <f t="shared" si="102"/>
        <v>0</v>
      </c>
      <c r="L345" s="12"/>
      <c r="M345" s="19"/>
      <c r="N345" s="19">
        <f t="shared" si="103"/>
        <v>0</v>
      </c>
      <c r="O345" s="19">
        <f t="shared" si="104"/>
        <v>0</v>
      </c>
      <c r="P345" s="19">
        <f t="shared" si="105"/>
        <v>0</v>
      </c>
      <c r="Q345" s="19">
        <f t="shared" si="106"/>
        <v>0</v>
      </c>
      <c r="R345" s="52"/>
    </row>
    <row r="346" spans="2:18" ht="69" x14ac:dyDescent="0.25">
      <c r="B346" s="51">
        <f>IF(F346&lt;&gt;"",1+MAX($B$22:B345),"")</f>
        <v>175</v>
      </c>
      <c r="C346" s="132" t="s">
        <v>344</v>
      </c>
      <c r="D346" s="10" t="s">
        <v>652</v>
      </c>
      <c r="E346" s="25" t="s">
        <v>90</v>
      </c>
      <c r="F346" s="41">
        <v>5</v>
      </c>
      <c r="G346" s="19">
        <v>29.12</v>
      </c>
      <c r="H346" s="19">
        <f t="shared" si="100"/>
        <v>29.644160000000003</v>
      </c>
      <c r="I346" s="19">
        <f t="shared" si="101"/>
        <v>148.22080000000003</v>
      </c>
      <c r="J346" s="17">
        <v>0.32500000000000001</v>
      </c>
      <c r="K346" s="12">
        <f t="shared" si="102"/>
        <v>1.625</v>
      </c>
      <c r="L346" s="97" t="s">
        <v>629</v>
      </c>
      <c r="M346" s="98">
        <v>53.15</v>
      </c>
      <c r="N346" s="19">
        <f t="shared" si="103"/>
        <v>44.220799999999997</v>
      </c>
      <c r="O346" s="19">
        <f t="shared" si="104"/>
        <v>14.37176</v>
      </c>
      <c r="P346" s="19">
        <f t="shared" si="105"/>
        <v>71.858800000000002</v>
      </c>
      <c r="Q346" s="19">
        <f t="shared" si="106"/>
        <v>220.07960000000003</v>
      </c>
      <c r="R346" s="52"/>
    </row>
    <row r="347" spans="2:18" ht="82.8" x14ac:dyDescent="0.25">
      <c r="B347" s="51">
        <f>IF(F347&lt;&gt;"",1+MAX($B$22:B346),"")</f>
        <v>176</v>
      </c>
      <c r="C347" s="132"/>
      <c r="D347" s="10" t="s">
        <v>653</v>
      </c>
      <c r="E347" s="25" t="s">
        <v>90</v>
      </c>
      <c r="F347" s="41">
        <v>20</v>
      </c>
      <c r="G347" s="19">
        <v>29.12</v>
      </c>
      <c r="H347" s="19">
        <f t="shared" si="100"/>
        <v>29.644160000000003</v>
      </c>
      <c r="I347" s="19">
        <f t="shared" si="101"/>
        <v>592.8832000000001</v>
      </c>
      <c r="J347" s="17">
        <v>0.32500000000000001</v>
      </c>
      <c r="K347" s="12">
        <f t="shared" si="102"/>
        <v>6.5</v>
      </c>
      <c r="L347" s="97" t="s">
        <v>629</v>
      </c>
      <c r="M347" s="98">
        <v>53.15</v>
      </c>
      <c r="N347" s="19">
        <f t="shared" si="103"/>
        <v>44.220799999999997</v>
      </c>
      <c r="O347" s="19">
        <f t="shared" si="104"/>
        <v>14.37176</v>
      </c>
      <c r="P347" s="19">
        <f t="shared" si="105"/>
        <v>287.43520000000001</v>
      </c>
      <c r="Q347" s="19">
        <f t="shared" si="106"/>
        <v>880.31840000000011</v>
      </c>
      <c r="R347" s="52"/>
    </row>
    <row r="348" spans="2:18" ht="96.6" x14ac:dyDescent="0.25">
      <c r="B348" s="51">
        <f>IF(F348&lt;&gt;"",1+MAX($B$22:B347),"")</f>
        <v>177</v>
      </c>
      <c r="C348" s="132"/>
      <c r="D348" s="10" t="s">
        <v>654</v>
      </c>
      <c r="E348" s="25" t="s">
        <v>90</v>
      </c>
      <c r="F348" s="41">
        <v>11</v>
      </c>
      <c r="G348" s="19">
        <v>48.34</v>
      </c>
      <c r="H348" s="19">
        <f t="shared" si="100"/>
        <v>49.210120000000003</v>
      </c>
      <c r="I348" s="19">
        <f t="shared" si="101"/>
        <v>541.31132000000002</v>
      </c>
      <c r="J348" s="17">
        <v>0.45800000000000002</v>
      </c>
      <c r="K348" s="12">
        <f t="shared" si="102"/>
        <v>5.0380000000000003</v>
      </c>
      <c r="L348" s="97" t="s">
        <v>629</v>
      </c>
      <c r="M348" s="98">
        <v>53.15</v>
      </c>
      <c r="N348" s="19">
        <f t="shared" si="103"/>
        <v>44.220799999999997</v>
      </c>
      <c r="O348" s="19">
        <f t="shared" si="104"/>
        <v>20.253126399999999</v>
      </c>
      <c r="P348" s="19">
        <f t="shared" si="105"/>
        <v>222.78439040000001</v>
      </c>
      <c r="Q348" s="19">
        <f t="shared" si="106"/>
        <v>764.09571040000003</v>
      </c>
      <c r="R348" s="52"/>
    </row>
    <row r="349" spans="2:18" ht="55.2" x14ac:dyDescent="0.25">
      <c r="B349" s="51">
        <f>IF(F349&lt;&gt;"",1+MAX($B$22:B348),"")</f>
        <v>178</v>
      </c>
      <c r="C349" s="132"/>
      <c r="D349" s="10" t="s">
        <v>432</v>
      </c>
      <c r="E349" s="25" t="s">
        <v>90</v>
      </c>
      <c r="F349" s="41">
        <v>25</v>
      </c>
      <c r="G349" s="19">
        <v>15.5</v>
      </c>
      <c r="H349" s="19">
        <f t="shared" si="100"/>
        <v>15.779</v>
      </c>
      <c r="I349" s="19">
        <f t="shared" si="101"/>
        <v>394.47500000000002</v>
      </c>
      <c r="J349" s="17">
        <v>0.22800000000000001</v>
      </c>
      <c r="K349" s="12">
        <f t="shared" si="102"/>
        <v>5.7</v>
      </c>
      <c r="L349" s="97" t="s">
        <v>629</v>
      </c>
      <c r="M349" s="98">
        <v>53.15</v>
      </c>
      <c r="N349" s="19">
        <f t="shared" si="103"/>
        <v>44.220799999999997</v>
      </c>
      <c r="O349" s="19">
        <f t="shared" si="104"/>
        <v>10.0823424</v>
      </c>
      <c r="P349" s="19">
        <f t="shared" si="105"/>
        <v>252.05856</v>
      </c>
      <c r="Q349" s="19">
        <f t="shared" si="106"/>
        <v>646.53356000000008</v>
      </c>
      <c r="R349" s="52"/>
    </row>
    <row r="350" spans="2:18" ht="55.2" x14ac:dyDescent="0.25">
      <c r="B350" s="51">
        <f>IF(F350&lt;&gt;"",1+MAX($B$22:B349),"")</f>
        <v>179</v>
      </c>
      <c r="C350" s="132"/>
      <c r="D350" s="10" t="s">
        <v>433</v>
      </c>
      <c r="E350" s="25" t="s">
        <v>90</v>
      </c>
      <c r="F350" s="41">
        <v>25</v>
      </c>
      <c r="G350" s="19">
        <v>15.5</v>
      </c>
      <c r="H350" s="19">
        <f t="shared" si="100"/>
        <v>15.779</v>
      </c>
      <c r="I350" s="19">
        <f t="shared" si="101"/>
        <v>394.47500000000002</v>
      </c>
      <c r="J350" s="17">
        <v>0.22800000000000001</v>
      </c>
      <c r="K350" s="12">
        <f t="shared" si="102"/>
        <v>5.7</v>
      </c>
      <c r="L350" s="97" t="s">
        <v>629</v>
      </c>
      <c r="M350" s="98">
        <v>53.15</v>
      </c>
      <c r="N350" s="19">
        <f t="shared" si="103"/>
        <v>44.220799999999997</v>
      </c>
      <c r="O350" s="19">
        <f t="shared" si="104"/>
        <v>10.0823424</v>
      </c>
      <c r="P350" s="19">
        <f t="shared" si="105"/>
        <v>252.05856</v>
      </c>
      <c r="Q350" s="19">
        <f t="shared" si="106"/>
        <v>646.53356000000008</v>
      </c>
      <c r="R350" s="52"/>
    </row>
    <row r="351" spans="2:18" x14ac:dyDescent="0.25">
      <c r="B351" s="51" t="str">
        <f>IF(F351&lt;&gt;"",1+MAX($B$22:B350),"")</f>
        <v/>
      </c>
      <c r="C351" s="55"/>
      <c r="D351" s="10"/>
      <c r="E351" s="25"/>
      <c r="F351" s="41"/>
      <c r="G351" s="19"/>
      <c r="H351" s="19">
        <f t="shared" si="100"/>
        <v>0</v>
      </c>
      <c r="I351" s="19">
        <f t="shared" si="101"/>
        <v>0</v>
      </c>
      <c r="J351" s="17"/>
      <c r="K351" s="12">
        <f t="shared" si="102"/>
        <v>0</v>
      </c>
      <c r="L351" s="12"/>
      <c r="M351" s="19"/>
      <c r="N351" s="19">
        <f t="shared" si="103"/>
        <v>0</v>
      </c>
      <c r="O351" s="19">
        <f t="shared" si="104"/>
        <v>0</v>
      </c>
      <c r="P351" s="19">
        <f t="shared" si="105"/>
        <v>0</v>
      </c>
      <c r="Q351" s="19">
        <f t="shared" si="106"/>
        <v>0</v>
      </c>
      <c r="R351" s="52"/>
    </row>
    <row r="352" spans="2:18" x14ac:dyDescent="0.25">
      <c r="B352" s="70" t="str">
        <f>IF(F352&lt;&gt;"",1+MAX($B$22:B351),"")</f>
        <v/>
      </c>
      <c r="C352" s="71"/>
      <c r="D352" s="72" t="s">
        <v>434</v>
      </c>
      <c r="E352" s="25"/>
      <c r="F352" s="41"/>
      <c r="G352" s="19"/>
      <c r="H352" s="19">
        <f t="shared" si="100"/>
        <v>0</v>
      </c>
      <c r="I352" s="19">
        <f t="shared" si="101"/>
        <v>0</v>
      </c>
      <c r="J352" s="17"/>
      <c r="K352" s="12">
        <f t="shared" si="102"/>
        <v>0</v>
      </c>
      <c r="L352" s="12"/>
      <c r="M352" s="19"/>
      <c r="N352" s="19">
        <f t="shared" si="103"/>
        <v>0</v>
      </c>
      <c r="O352" s="19">
        <f t="shared" si="104"/>
        <v>0</v>
      </c>
      <c r="P352" s="19">
        <f t="shared" si="105"/>
        <v>0</v>
      </c>
      <c r="Q352" s="19">
        <f t="shared" si="106"/>
        <v>0</v>
      </c>
      <c r="R352" s="52"/>
    </row>
    <row r="353" spans="2:18" x14ac:dyDescent="0.25">
      <c r="B353" s="51">
        <f>IF(F353&lt;&gt;"",1+MAX($B$22:B352),"")</f>
        <v>180</v>
      </c>
      <c r="C353" s="132" t="s">
        <v>344</v>
      </c>
      <c r="D353" s="10" t="s">
        <v>435</v>
      </c>
      <c r="E353" s="25" t="s">
        <v>90</v>
      </c>
      <c r="F353" s="25">
        <v>3</v>
      </c>
      <c r="G353" s="19">
        <v>525</v>
      </c>
      <c r="H353" s="19">
        <f t="shared" si="100"/>
        <v>534.45000000000005</v>
      </c>
      <c r="I353" s="19">
        <f t="shared" si="101"/>
        <v>1603.3500000000001</v>
      </c>
      <c r="J353" s="17">
        <v>5.3939244791666656</v>
      </c>
      <c r="K353" s="12">
        <f t="shared" si="102"/>
        <v>16.181773437499999</v>
      </c>
      <c r="L353" s="97" t="s">
        <v>650</v>
      </c>
      <c r="M353" s="98">
        <v>57.65</v>
      </c>
      <c r="N353" s="19">
        <f t="shared" si="103"/>
        <v>47.964799999999997</v>
      </c>
      <c r="O353" s="19">
        <f t="shared" si="104"/>
        <v>258.71850885833328</v>
      </c>
      <c r="P353" s="19">
        <f t="shared" si="105"/>
        <v>776.15552657499984</v>
      </c>
      <c r="Q353" s="19">
        <f t="shared" si="106"/>
        <v>2379.5055265749997</v>
      </c>
      <c r="R353" s="52"/>
    </row>
    <row r="354" spans="2:18" x14ac:dyDescent="0.25">
      <c r="B354" s="51">
        <f>IF(F354&lt;&gt;"",1+MAX($B$22:B353),"")</f>
        <v>181</v>
      </c>
      <c r="C354" s="132"/>
      <c r="D354" s="10" t="s">
        <v>436</v>
      </c>
      <c r="E354" s="25" t="s">
        <v>90</v>
      </c>
      <c r="F354" s="25">
        <v>4</v>
      </c>
      <c r="G354" s="19">
        <v>490</v>
      </c>
      <c r="H354" s="19">
        <f t="shared" si="100"/>
        <v>498.82</v>
      </c>
      <c r="I354" s="19">
        <f t="shared" si="101"/>
        <v>1995.28</v>
      </c>
      <c r="J354" s="17">
        <v>5.0290078124999988</v>
      </c>
      <c r="K354" s="12">
        <f t="shared" si="102"/>
        <v>20.116031249999995</v>
      </c>
      <c r="L354" s="97" t="s">
        <v>650</v>
      </c>
      <c r="M354" s="98">
        <v>57.65</v>
      </c>
      <c r="N354" s="19">
        <f t="shared" si="103"/>
        <v>47.964799999999997</v>
      </c>
      <c r="O354" s="19">
        <f t="shared" si="104"/>
        <v>241.21535392499993</v>
      </c>
      <c r="P354" s="19">
        <f t="shared" si="105"/>
        <v>964.86141569999972</v>
      </c>
      <c r="Q354" s="19">
        <f t="shared" si="106"/>
        <v>2960.1414156999999</v>
      </c>
      <c r="R354" s="52"/>
    </row>
    <row r="355" spans="2:18" x14ac:dyDescent="0.25">
      <c r="B355" s="51">
        <f>IF(F355&lt;&gt;"",1+MAX($B$22:B354),"")</f>
        <v>182</v>
      </c>
      <c r="C355" s="132"/>
      <c r="D355" s="10" t="s">
        <v>437</v>
      </c>
      <c r="E355" s="25" t="s">
        <v>90</v>
      </c>
      <c r="F355" s="25">
        <v>2</v>
      </c>
      <c r="G355" s="19">
        <v>410</v>
      </c>
      <c r="H355" s="19">
        <f t="shared" si="100"/>
        <v>417.38</v>
      </c>
      <c r="I355" s="19">
        <f t="shared" si="101"/>
        <v>834.76</v>
      </c>
      <c r="J355" s="17">
        <v>4.1946752699652778</v>
      </c>
      <c r="K355" s="12">
        <f t="shared" si="102"/>
        <v>8.3893505399305557</v>
      </c>
      <c r="L355" s="97" t="s">
        <v>650</v>
      </c>
      <c r="M355" s="98">
        <v>57.65</v>
      </c>
      <c r="N355" s="19">
        <f t="shared" si="103"/>
        <v>47.964799999999997</v>
      </c>
      <c r="O355" s="19">
        <f t="shared" si="104"/>
        <v>201.19676038883054</v>
      </c>
      <c r="P355" s="19">
        <f t="shared" si="105"/>
        <v>402.39352077766108</v>
      </c>
      <c r="Q355" s="19">
        <f t="shared" si="106"/>
        <v>1237.153520777661</v>
      </c>
      <c r="R355" s="52"/>
    </row>
    <row r="356" spans="2:18" x14ac:dyDescent="0.25">
      <c r="B356" s="51">
        <f>IF(F356&lt;&gt;"",1+MAX($B$22:B355),"")</f>
        <v>183</v>
      </c>
      <c r="C356" s="132"/>
      <c r="D356" s="10" t="s">
        <v>438</v>
      </c>
      <c r="E356" s="25" t="s">
        <v>90</v>
      </c>
      <c r="F356" s="25">
        <v>2</v>
      </c>
      <c r="G356" s="19">
        <v>435</v>
      </c>
      <c r="H356" s="19">
        <f t="shared" si="100"/>
        <v>442.83</v>
      </c>
      <c r="I356" s="19">
        <f t="shared" si="101"/>
        <v>885.66</v>
      </c>
      <c r="J356" s="17">
        <v>4.4816328124999991</v>
      </c>
      <c r="K356" s="12">
        <f t="shared" si="102"/>
        <v>8.9632656249999982</v>
      </c>
      <c r="L356" s="97" t="s">
        <v>650</v>
      </c>
      <c r="M356" s="98">
        <v>57.65</v>
      </c>
      <c r="N356" s="19">
        <f t="shared" si="103"/>
        <v>47.964799999999997</v>
      </c>
      <c r="O356" s="19">
        <f t="shared" si="104"/>
        <v>214.96062152499994</v>
      </c>
      <c r="P356" s="19">
        <f t="shared" si="105"/>
        <v>429.92124304999987</v>
      </c>
      <c r="Q356" s="19">
        <f t="shared" si="106"/>
        <v>1315.5812430499998</v>
      </c>
      <c r="R356" s="52"/>
    </row>
    <row r="357" spans="2:18" x14ac:dyDescent="0.25">
      <c r="B357" s="51">
        <f>IF(F357&lt;&gt;"",1+MAX($B$22:B356),"")</f>
        <v>184</v>
      </c>
      <c r="C357" s="132"/>
      <c r="D357" s="10" t="s">
        <v>439</v>
      </c>
      <c r="E357" s="25" t="s">
        <v>90</v>
      </c>
      <c r="F357" s="25">
        <v>2</v>
      </c>
      <c r="G357" s="19">
        <v>560</v>
      </c>
      <c r="H357" s="19">
        <f t="shared" si="100"/>
        <v>570.08000000000004</v>
      </c>
      <c r="I357" s="19">
        <f t="shared" si="101"/>
        <v>1140.1600000000001</v>
      </c>
      <c r="J357" s="17">
        <v>5.7930520833333325</v>
      </c>
      <c r="K357" s="12">
        <f t="shared" si="102"/>
        <v>11.586104166666665</v>
      </c>
      <c r="L357" s="97" t="s">
        <v>650</v>
      </c>
      <c r="M357" s="98">
        <v>57.65</v>
      </c>
      <c r="N357" s="19">
        <f t="shared" si="103"/>
        <v>47.964799999999997</v>
      </c>
      <c r="O357" s="19">
        <f t="shared" si="104"/>
        <v>277.86258456666661</v>
      </c>
      <c r="P357" s="19">
        <f t="shared" si="105"/>
        <v>555.72516913333322</v>
      </c>
      <c r="Q357" s="19">
        <f t="shared" si="106"/>
        <v>1695.8851691333334</v>
      </c>
      <c r="R357" s="52"/>
    </row>
    <row r="358" spans="2:18" x14ac:dyDescent="0.25">
      <c r="B358" s="51">
        <f>IF(F358&lt;&gt;"",1+MAX($B$22:B357),"")</f>
        <v>185</v>
      </c>
      <c r="C358" s="132"/>
      <c r="D358" s="10" t="s">
        <v>440</v>
      </c>
      <c r="E358" s="25" t="s">
        <v>90</v>
      </c>
      <c r="F358" s="25">
        <v>3</v>
      </c>
      <c r="G358" s="19">
        <v>560</v>
      </c>
      <c r="H358" s="19">
        <f t="shared" si="100"/>
        <v>570.08000000000004</v>
      </c>
      <c r="I358" s="19">
        <f t="shared" si="101"/>
        <v>1710.2400000000002</v>
      </c>
      <c r="J358" s="17">
        <v>5.7930520833333325</v>
      </c>
      <c r="K358" s="12">
        <f t="shared" si="102"/>
        <v>17.379156249999998</v>
      </c>
      <c r="L358" s="97" t="s">
        <v>650</v>
      </c>
      <c r="M358" s="98">
        <v>57.65</v>
      </c>
      <c r="N358" s="19">
        <f t="shared" si="103"/>
        <v>47.964799999999997</v>
      </c>
      <c r="O358" s="19">
        <f t="shared" si="104"/>
        <v>277.86258456666661</v>
      </c>
      <c r="P358" s="19">
        <f t="shared" si="105"/>
        <v>833.58775369999989</v>
      </c>
      <c r="Q358" s="19">
        <f t="shared" si="106"/>
        <v>2543.8277537000004</v>
      </c>
      <c r="R358" s="52"/>
    </row>
    <row r="359" spans="2:18" x14ac:dyDescent="0.25">
      <c r="B359" s="51">
        <f>IF(F359&lt;&gt;"",1+MAX($B$22:B358),"")</f>
        <v>186</v>
      </c>
      <c r="C359" s="132"/>
      <c r="D359" s="10" t="s">
        <v>441</v>
      </c>
      <c r="E359" s="25" t="s">
        <v>90</v>
      </c>
      <c r="F359" s="25">
        <v>8</v>
      </c>
      <c r="G359" s="19">
        <v>365</v>
      </c>
      <c r="H359" s="19">
        <f t="shared" si="100"/>
        <v>371.57</v>
      </c>
      <c r="I359" s="19">
        <f t="shared" si="101"/>
        <v>2972.56</v>
      </c>
      <c r="J359" s="17">
        <v>3.7616192853009252</v>
      </c>
      <c r="K359" s="12">
        <f t="shared" si="102"/>
        <v>30.092954282407401</v>
      </c>
      <c r="L359" s="97" t="s">
        <v>650</v>
      </c>
      <c r="M359" s="98">
        <v>57.65</v>
      </c>
      <c r="N359" s="19">
        <f t="shared" si="103"/>
        <v>47.964799999999997</v>
      </c>
      <c r="O359" s="19">
        <f t="shared" si="104"/>
        <v>180.42531669560179</v>
      </c>
      <c r="P359" s="19">
        <f t="shared" si="105"/>
        <v>1443.4025335648143</v>
      </c>
      <c r="Q359" s="19">
        <f t="shared" si="106"/>
        <v>4415.9625335648143</v>
      </c>
      <c r="R359" s="52"/>
    </row>
    <row r="360" spans="2:18" x14ac:dyDescent="0.25">
      <c r="B360" s="51">
        <f>IF(F360&lt;&gt;"",1+MAX($B$22:B359),"")</f>
        <v>187</v>
      </c>
      <c r="C360" s="132"/>
      <c r="D360" s="10" t="s">
        <v>442</v>
      </c>
      <c r="E360" s="25" t="s">
        <v>90</v>
      </c>
      <c r="F360" s="25">
        <v>2</v>
      </c>
      <c r="G360" s="19">
        <v>385</v>
      </c>
      <c r="H360" s="19">
        <f t="shared" si="100"/>
        <v>391.93</v>
      </c>
      <c r="I360" s="19">
        <f t="shared" si="101"/>
        <v>783.86</v>
      </c>
      <c r="J360" s="17">
        <v>3.9841715703124989</v>
      </c>
      <c r="K360" s="12">
        <f t="shared" si="102"/>
        <v>7.9683431406249978</v>
      </c>
      <c r="L360" s="97" t="s">
        <v>650</v>
      </c>
      <c r="M360" s="98">
        <v>57.65</v>
      </c>
      <c r="N360" s="19">
        <f t="shared" si="103"/>
        <v>47.964799999999997</v>
      </c>
      <c r="O360" s="19">
        <f t="shared" si="104"/>
        <v>191.09999253572494</v>
      </c>
      <c r="P360" s="19">
        <f t="shared" si="105"/>
        <v>382.19998507144987</v>
      </c>
      <c r="Q360" s="19">
        <f t="shared" si="106"/>
        <v>1166.0599850714498</v>
      </c>
      <c r="R360" s="52"/>
    </row>
    <row r="361" spans="2:18" x14ac:dyDescent="0.25">
      <c r="B361" s="51">
        <f>IF(F361&lt;&gt;"",1+MAX($B$22:B360),"")</f>
        <v>188</v>
      </c>
      <c r="C361" s="132"/>
      <c r="D361" s="10" t="s">
        <v>443</v>
      </c>
      <c r="E361" s="25" t="s">
        <v>90</v>
      </c>
      <c r="F361" s="25">
        <v>1</v>
      </c>
      <c r="G361" s="19">
        <v>490</v>
      </c>
      <c r="H361" s="19">
        <f t="shared" si="100"/>
        <v>498.82</v>
      </c>
      <c r="I361" s="19">
        <f t="shared" si="101"/>
        <v>498.82</v>
      </c>
      <c r="J361" s="17">
        <v>5.0556163194444439</v>
      </c>
      <c r="K361" s="12">
        <f t="shared" si="102"/>
        <v>5.0556163194444439</v>
      </c>
      <c r="L361" s="97" t="s">
        <v>650</v>
      </c>
      <c r="M361" s="98">
        <v>57.65</v>
      </c>
      <c r="N361" s="19">
        <f t="shared" si="103"/>
        <v>47.964799999999997</v>
      </c>
      <c r="O361" s="19">
        <f t="shared" si="104"/>
        <v>242.49162563888885</v>
      </c>
      <c r="P361" s="19">
        <f t="shared" si="105"/>
        <v>242.49162563888885</v>
      </c>
      <c r="Q361" s="19">
        <f t="shared" si="106"/>
        <v>741.31162563888881</v>
      </c>
      <c r="R361" s="52"/>
    </row>
    <row r="362" spans="2:18" ht="41.4" x14ac:dyDescent="0.25">
      <c r="B362" s="51">
        <f>IF(F362&lt;&gt;"",1+MAX($B$22:B361),"")</f>
        <v>189</v>
      </c>
      <c r="C362" s="132"/>
      <c r="D362" s="10" t="s">
        <v>444</v>
      </c>
      <c r="E362" s="25" t="s">
        <v>90</v>
      </c>
      <c r="F362" s="25">
        <v>1</v>
      </c>
      <c r="G362" s="19">
        <v>105</v>
      </c>
      <c r="H362" s="19">
        <f t="shared" si="100"/>
        <v>106.89</v>
      </c>
      <c r="I362" s="19">
        <f t="shared" si="101"/>
        <v>106.89</v>
      </c>
      <c r="J362" s="17">
        <v>1.0415329861111109</v>
      </c>
      <c r="K362" s="12">
        <f t="shared" si="102"/>
        <v>1.0415329861111109</v>
      </c>
      <c r="L362" s="97" t="s">
        <v>650</v>
      </c>
      <c r="M362" s="98">
        <v>57.65</v>
      </c>
      <c r="N362" s="19">
        <f t="shared" si="103"/>
        <v>47.964799999999997</v>
      </c>
      <c r="O362" s="19">
        <f t="shared" si="104"/>
        <v>49.956921372222212</v>
      </c>
      <c r="P362" s="19">
        <f t="shared" si="105"/>
        <v>49.956921372222212</v>
      </c>
      <c r="Q362" s="19">
        <f t="shared" si="106"/>
        <v>156.8469213722222</v>
      </c>
      <c r="R362" s="52"/>
    </row>
    <row r="363" spans="2:18" x14ac:dyDescent="0.25">
      <c r="B363" s="51" t="str">
        <f>IF(F363&lt;&gt;"",1+MAX($B$22:B362),"")</f>
        <v/>
      </c>
      <c r="C363" s="55"/>
      <c r="D363" s="10"/>
      <c r="E363" s="25"/>
      <c r="F363" s="41"/>
      <c r="G363" s="19"/>
      <c r="H363" s="19">
        <f t="shared" si="100"/>
        <v>0</v>
      </c>
      <c r="I363" s="19">
        <f t="shared" si="101"/>
        <v>0</v>
      </c>
      <c r="J363" s="17"/>
      <c r="K363" s="12">
        <f t="shared" si="102"/>
        <v>0</v>
      </c>
      <c r="L363" s="12"/>
      <c r="M363" s="19"/>
      <c r="N363" s="19">
        <f t="shared" si="103"/>
        <v>0</v>
      </c>
      <c r="O363" s="19">
        <f t="shared" si="104"/>
        <v>0</v>
      </c>
      <c r="P363" s="19">
        <f t="shared" si="105"/>
        <v>0</v>
      </c>
      <c r="Q363" s="19">
        <f t="shared" si="106"/>
        <v>0</v>
      </c>
      <c r="R363" s="52"/>
    </row>
    <row r="364" spans="2:18" x14ac:dyDescent="0.25">
      <c r="B364" s="51" t="str">
        <f>IF(F364&lt;&gt;"",1+MAX($B$22:B363),"")</f>
        <v/>
      </c>
      <c r="C364" s="55"/>
      <c r="D364" s="53" t="s">
        <v>445</v>
      </c>
      <c r="E364" s="25"/>
      <c r="F364" s="41"/>
      <c r="G364" s="19"/>
      <c r="H364" s="19">
        <f t="shared" si="100"/>
        <v>0</v>
      </c>
      <c r="I364" s="19">
        <f t="shared" si="101"/>
        <v>0</v>
      </c>
      <c r="J364" s="17"/>
      <c r="K364" s="12">
        <f t="shared" si="102"/>
        <v>0</v>
      </c>
      <c r="L364" s="12"/>
      <c r="M364" s="19"/>
      <c r="N364" s="19">
        <f t="shared" si="103"/>
        <v>0</v>
      </c>
      <c r="O364" s="19">
        <f t="shared" si="104"/>
        <v>0</v>
      </c>
      <c r="P364" s="19">
        <f t="shared" si="105"/>
        <v>0</v>
      </c>
      <c r="Q364" s="19">
        <f t="shared" si="106"/>
        <v>0</v>
      </c>
      <c r="R364" s="52"/>
    </row>
    <row r="365" spans="2:18" x14ac:dyDescent="0.25">
      <c r="B365" s="51">
        <f>IF(F365&lt;&gt;"",1+MAX($B$22:B364),"")</f>
        <v>190</v>
      </c>
      <c r="C365" s="132" t="s">
        <v>446</v>
      </c>
      <c r="D365" s="10" t="s">
        <v>447</v>
      </c>
      <c r="E365" s="25" t="s">
        <v>90</v>
      </c>
      <c r="F365" s="25">
        <v>2</v>
      </c>
      <c r="G365" s="19">
        <v>255</v>
      </c>
      <c r="H365" s="19">
        <f t="shared" si="100"/>
        <v>259.59000000000003</v>
      </c>
      <c r="I365" s="19">
        <f t="shared" si="101"/>
        <v>519.18000000000006</v>
      </c>
      <c r="J365" s="17">
        <v>2.3734999999999999</v>
      </c>
      <c r="K365" s="12">
        <f t="shared" si="102"/>
        <v>4.7469999999999999</v>
      </c>
      <c r="L365" s="97" t="s">
        <v>651</v>
      </c>
      <c r="M365" s="98">
        <v>52.2</v>
      </c>
      <c r="N365" s="19">
        <f t="shared" si="103"/>
        <v>43.430399999999999</v>
      </c>
      <c r="O365" s="19">
        <f t="shared" si="104"/>
        <v>103.08205439999999</v>
      </c>
      <c r="P365" s="19">
        <f t="shared" si="105"/>
        <v>206.16410879999998</v>
      </c>
      <c r="Q365" s="19">
        <f t="shared" si="106"/>
        <v>725.34410880000007</v>
      </c>
      <c r="R365" s="52"/>
    </row>
    <row r="366" spans="2:18" x14ac:dyDescent="0.25">
      <c r="B366" s="51">
        <f>IF(F366&lt;&gt;"",1+MAX($B$22:B365),"")</f>
        <v>191</v>
      </c>
      <c r="C366" s="132"/>
      <c r="D366" s="10" t="s">
        <v>448</v>
      </c>
      <c r="E366" s="25" t="s">
        <v>90</v>
      </c>
      <c r="F366" s="25">
        <v>2</v>
      </c>
      <c r="G366" s="19">
        <v>385</v>
      </c>
      <c r="H366" s="19">
        <f t="shared" si="100"/>
        <v>391.93</v>
      </c>
      <c r="I366" s="19">
        <f t="shared" si="101"/>
        <v>783.86</v>
      </c>
      <c r="J366" s="17">
        <v>3.5769486329999998</v>
      </c>
      <c r="K366" s="12">
        <f t="shared" si="102"/>
        <v>7.1538972659999995</v>
      </c>
      <c r="L366" s="97" t="s">
        <v>651</v>
      </c>
      <c r="M366" s="98">
        <v>52.2</v>
      </c>
      <c r="N366" s="19">
        <f t="shared" si="103"/>
        <v>43.430399999999999</v>
      </c>
      <c r="O366" s="19">
        <f t="shared" si="104"/>
        <v>155.3483099106432</v>
      </c>
      <c r="P366" s="19">
        <f t="shared" si="105"/>
        <v>310.69661982128639</v>
      </c>
      <c r="Q366" s="19">
        <f t="shared" si="106"/>
        <v>1094.5566198212864</v>
      </c>
      <c r="R366" s="52"/>
    </row>
    <row r="367" spans="2:18" x14ac:dyDescent="0.25">
      <c r="B367" s="51" t="str">
        <f>IF(F367&lt;&gt;"",1+MAX($B$22:B366),"")</f>
        <v/>
      </c>
      <c r="C367" s="55"/>
      <c r="D367" s="10"/>
      <c r="E367" s="25"/>
      <c r="F367" s="41"/>
      <c r="G367" s="19"/>
      <c r="H367" s="19">
        <f t="shared" si="100"/>
        <v>0</v>
      </c>
      <c r="I367" s="19">
        <f t="shared" si="101"/>
        <v>0</v>
      </c>
      <c r="J367" s="17"/>
      <c r="K367" s="12">
        <f t="shared" si="102"/>
        <v>0</v>
      </c>
      <c r="L367" s="12"/>
      <c r="M367" s="19"/>
      <c r="N367" s="19">
        <f t="shared" si="103"/>
        <v>0</v>
      </c>
      <c r="O367" s="19">
        <f t="shared" si="104"/>
        <v>0</v>
      </c>
      <c r="P367" s="19">
        <f t="shared" si="105"/>
        <v>0</v>
      </c>
      <c r="Q367" s="19">
        <f t="shared" si="106"/>
        <v>0</v>
      </c>
      <c r="R367" s="52"/>
    </row>
    <row r="368" spans="2:18" s="14" customFormat="1" ht="12.75" customHeight="1" x14ac:dyDescent="0.25">
      <c r="B368" s="15" t="str">
        <f>IF(F368&lt;&gt;"",1+MAX($B$22:B367),"")</f>
        <v/>
      </c>
      <c r="C368" s="15" t="s">
        <v>52</v>
      </c>
      <c r="D368" s="8" t="s">
        <v>16</v>
      </c>
      <c r="E368" s="130" t="s">
        <v>69</v>
      </c>
      <c r="F368" s="130"/>
      <c r="G368" s="130"/>
      <c r="H368" s="54">
        <f>SUM(I369:I472)</f>
        <v>71004.268306631988</v>
      </c>
      <c r="I368" s="9">
        <f t="shared" ref="I368:I374" si="107">F368*H368</f>
        <v>0</v>
      </c>
      <c r="J368" s="9"/>
      <c r="K368" s="131" t="s">
        <v>70</v>
      </c>
      <c r="L368" s="131"/>
      <c r="M368" s="131"/>
      <c r="N368" s="131"/>
      <c r="O368" s="54">
        <f>SUM(P369:P472)</f>
        <v>50573.577542625266</v>
      </c>
      <c r="P368" s="9">
        <f t="shared" ref="P368:P374" si="108">F368*O368</f>
        <v>0</v>
      </c>
      <c r="Q368" s="50">
        <f>SUM(Q369:Q472)</f>
        <v>121577.84584925724</v>
      </c>
      <c r="R368" s="50">
        <f>(Q368)+(H368*$Q$8)+(O368*$Q$9)+(Q368*$Q$10)+($Q$11*((Q368)+(H368*$Q$8)+(O368*$Q$9)+(Q368*$Q$10)))+(Q368*$Q$12)</f>
        <v>170594.61187997949</v>
      </c>
    </row>
    <row r="369" spans="2:19" x14ac:dyDescent="0.25">
      <c r="B369" s="51" t="str">
        <f>IF(F369&lt;&gt;"",1+MAX($B$22:B368),"")</f>
        <v/>
      </c>
      <c r="C369" s="55"/>
      <c r="D369" s="10"/>
      <c r="E369" s="25"/>
      <c r="F369" s="41"/>
      <c r="G369" s="19"/>
      <c r="H369" s="19">
        <f t="shared" ref="H369:H432" si="109">G369*$T$2</f>
        <v>0</v>
      </c>
      <c r="I369" s="19">
        <f t="shared" si="107"/>
        <v>0</v>
      </c>
      <c r="J369" s="17"/>
      <c r="K369" s="12">
        <f t="shared" ref="K369:K432" si="110">F369*J369</f>
        <v>0</v>
      </c>
      <c r="L369" s="12"/>
      <c r="M369" s="19"/>
      <c r="N369" s="19">
        <f t="shared" ref="N369:N432" si="111">M369*$U$2</f>
        <v>0</v>
      </c>
      <c r="O369" s="19">
        <f t="shared" ref="O369:O432" si="112">J369*N369</f>
        <v>0</v>
      </c>
      <c r="P369" s="19">
        <f t="shared" si="108"/>
        <v>0</v>
      </c>
      <c r="Q369" s="19">
        <f t="shared" ref="Q369:Q432" si="113">I369+P369</f>
        <v>0</v>
      </c>
      <c r="R369" s="52"/>
      <c r="S369" s="14"/>
    </row>
    <row r="370" spans="2:19" x14ac:dyDescent="0.25">
      <c r="B370" s="70" t="str">
        <f>IF(F370&lt;&gt;"",1+MAX($B$22:B369),"")</f>
        <v/>
      </c>
      <c r="C370" s="71"/>
      <c r="D370" s="72" t="s">
        <v>93</v>
      </c>
      <c r="E370" s="25"/>
      <c r="F370" s="41"/>
      <c r="G370" s="19"/>
      <c r="H370" s="19">
        <f t="shared" si="109"/>
        <v>0</v>
      </c>
      <c r="I370" s="19">
        <f t="shared" si="107"/>
        <v>0</v>
      </c>
      <c r="J370" s="17"/>
      <c r="K370" s="12">
        <f t="shared" si="110"/>
        <v>0</v>
      </c>
      <c r="L370" s="12"/>
      <c r="M370" s="19"/>
      <c r="N370" s="19">
        <f t="shared" si="111"/>
        <v>0</v>
      </c>
      <c r="O370" s="19">
        <f t="shared" si="112"/>
        <v>0</v>
      </c>
      <c r="P370" s="19">
        <f t="shared" si="108"/>
        <v>0</v>
      </c>
      <c r="Q370" s="19">
        <f t="shared" si="113"/>
        <v>0</v>
      </c>
      <c r="R370" s="52"/>
    </row>
    <row r="371" spans="2:19" ht="69" x14ac:dyDescent="0.25">
      <c r="B371" s="51">
        <f>IF(F371&lt;&gt;"",1+MAX($B$22:B370),"")</f>
        <v>192</v>
      </c>
      <c r="C371" s="132" t="s">
        <v>219</v>
      </c>
      <c r="D371" s="10" t="s">
        <v>267</v>
      </c>
      <c r="E371" s="25" t="s">
        <v>82</v>
      </c>
      <c r="F371" s="41">
        <v>1065.4000000000001</v>
      </c>
      <c r="G371" s="19">
        <v>2.15</v>
      </c>
      <c r="H371" s="19">
        <f t="shared" si="109"/>
        <v>2.1886999999999999</v>
      </c>
      <c r="I371" s="19">
        <f t="shared" si="107"/>
        <v>2331.8409799999999</v>
      </c>
      <c r="J371" s="17">
        <v>9.5000000000000001E-2</v>
      </c>
      <c r="K371" s="12">
        <f t="shared" si="110"/>
        <v>101.21300000000001</v>
      </c>
      <c r="L371" s="97" t="s">
        <v>655</v>
      </c>
      <c r="M371" s="98">
        <v>44.86</v>
      </c>
      <c r="N371" s="19">
        <f t="shared" si="111"/>
        <v>37.323519999999995</v>
      </c>
      <c r="O371" s="19">
        <f t="shared" si="112"/>
        <v>3.5457343999999997</v>
      </c>
      <c r="P371" s="19">
        <f t="shared" si="108"/>
        <v>3777.6254297599999</v>
      </c>
      <c r="Q371" s="19">
        <f t="shared" si="113"/>
        <v>6109.4664097599998</v>
      </c>
      <c r="R371" s="52"/>
    </row>
    <row r="372" spans="2:19" ht="69" x14ac:dyDescent="0.25">
      <c r="B372" s="51">
        <f>IF(F372&lt;&gt;"",1+MAX($B$22:B371),"")</f>
        <v>193</v>
      </c>
      <c r="C372" s="132"/>
      <c r="D372" s="10" t="s">
        <v>268</v>
      </c>
      <c r="E372" s="25" t="s">
        <v>82</v>
      </c>
      <c r="F372" s="41">
        <v>1065.4000000000001</v>
      </c>
      <c r="G372" s="19">
        <v>3.54</v>
      </c>
      <c r="H372" s="19">
        <f t="shared" si="109"/>
        <v>3.60372</v>
      </c>
      <c r="I372" s="19">
        <f t="shared" si="107"/>
        <v>3839.4032880000004</v>
      </c>
      <c r="J372" s="17">
        <v>0.107</v>
      </c>
      <c r="K372" s="12">
        <f t="shared" si="110"/>
        <v>113.99780000000001</v>
      </c>
      <c r="L372" s="97" t="s">
        <v>655</v>
      </c>
      <c r="M372" s="98">
        <v>44.86</v>
      </c>
      <c r="N372" s="19">
        <f t="shared" si="111"/>
        <v>37.323519999999995</v>
      </c>
      <c r="O372" s="19">
        <f t="shared" si="112"/>
        <v>3.9936166399999995</v>
      </c>
      <c r="P372" s="19">
        <f t="shared" si="108"/>
        <v>4254.7991682559996</v>
      </c>
      <c r="Q372" s="19">
        <f t="shared" si="113"/>
        <v>8094.202456256</v>
      </c>
      <c r="R372" s="52"/>
    </row>
    <row r="373" spans="2:19" ht="110.4" x14ac:dyDescent="0.25">
      <c r="B373" s="51">
        <f>IF(F373&lt;&gt;"",1+MAX($B$22:B372),"")</f>
        <v>194</v>
      </c>
      <c r="C373" s="132"/>
      <c r="D373" s="10" t="s">
        <v>269</v>
      </c>
      <c r="E373" s="25" t="s">
        <v>82</v>
      </c>
      <c r="F373" s="41">
        <v>2695.49</v>
      </c>
      <c r="G373" s="94"/>
      <c r="H373" s="19">
        <v>6</v>
      </c>
      <c r="I373" s="19">
        <f t="shared" si="107"/>
        <v>16172.939999999999</v>
      </c>
      <c r="J373" s="17">
        <v>6.5000000000000002E-2</v>
      </c>
      <c r="K373" s="12">
        <f t="shared" si="110"/>
        <v>175.20685</v>
      </c>
      <c r="L373" s="97" t="s">
        <v>629</v>
      </c>
      <c r="M373" s="98">
        <v>53.15</v>
      </c>
      <c r="N373" s="19">
        <f t="shared" si="111"/>
        <v>44.220799999999997</v>
      </c>
      <c r="O373" s="19">
        <f t="shared" si="112"/>
        <v>2.874352</v>
      </c>
      <c r="P373" s="19">
        <f t="shared" si="108"/>
        <v>7747.7870724799996</v>
      </c>
      <c r="Q373" s="19">
        <f t="shared" si="113"/>
        <v>23920.727072479996</v>
      </c>
      <c r="R373" s="52"/>
    </row>
    <row r="374" spans="2:19" ht="96.6" x14ac:dyDescent="0.25">
      <c r="B374" s="51">
        <f>IF(F374&lt;&gt;"",1+MAX($B$22:B373),"")</f>
        <v>195</v>
      </c>
      <c r="C374" s="132"/>
      <c r="D374" s="10" t="s">
        <v>656</v>
      </c>
      <c r="E374" s="25" t="s">
        <v>82</v>
      </c>
      <c r="F374" s="41">
        <v>2695.49</v>
      </c>
      <c r="G374" s="19">
        <v>3.9899999999999998</v>
      </c>
      <c r="H374" s="19">
        <f t="shared" ref="H374" si="114">G374*$T$2</f>
        <v>4.06182</v>
      </c>
      <c r="I374" s="19">
        <f t="shared" si="107"/>
        <v>10948.595191799999</v>
      </c>
      <c r="J374" s="17">
        <v>2.5999999999999999E-2</v>
      </c>
      <c r="K374" s="12">
        <f t="shared" si="110"/>
        <v>70.082739999999987</v>
      </c>
      <c r="L374" s="97" t="s">
        <v>657</v>
      </c>
      <c r="M374" s="98">
        <v>49.5</v>
      </c>
      <c r="N374" s="19">
        <f t="shared" si="111"/>
        <v>41.183999999999997</v>
      </c>
      <c r="O374" s="19">
        <f t="shared" si="112"/>
        <v>1.070784</v>
      </c>
      <c r="P374" s="19">
        <f t="shared" si="108"/>
        <v>2886.2875641599999</v>
      </c>
      <c r="Q374" s="19">
        <f t="shared" si="113"/>
        <v>13834.882755959999</v>
      </c>
      <c r="R374" s="52"/>
    </row>
    <row r="375" spans="2:19" ht="110.4" x14ac:dyDescent="0.25">
      <c r="B375" s="51">
        <f>IF(F375&lt;&gt;"",1+MAX($B$22:B374),"")</f>
        <v>196</v>
      </c>
      <c r="C375" s="132"/>
      <c r="D375" s="10" t="s">
        <v>270</v>
      </c>
      <c r="E375" s="25" t="s">
        <v>82</v>
      </c>
      <c r="F375" s="41">
        <f>23.29+89.24+35.08</f>
        <v>147.61000000000001</v>
      </c>
      <c r="G375" s="94"/>
      <c r="H375" s="19">
        <v>3.5</v>
      </c>
      <c r="I375" s="19">
        <f t="shared" ref="I375:I438" si="115">F375*H375</f>
        <v>516.63499999999999</v>
      </c>
      <c r="J375" s="17">
        <v>0.114</v>
      </c>
      <c r="K375" s="12">
        <f t="shared" si="110"/>
        <v>16.827540000000003</v>
      </c>
      <c r="L375" s="97" t="s">
        <v>658</v>
      </c>
      <c r="M375" s="98">
        <v>49.5</v>
      </c>
      <c r="N375" s="19">
        <f t="shared" si="111"/>
        <v>41.183999999999997</v>
      </c>
      <c r="O375" s="19">
        <f t="shared" si="112"/>
        <v>4.6949759999999996</v>
      </c>
      <c r="P375" s="19">
        <f t="shared" ref="P375:P438" si="116">F375*O375</f>
        <v>693.02540736000003</v>
      </c>
      <c r="Q375" s="19">
        <f t="shared" si="113"/>
        <v>1209.6604073600001</v>
      </c>
      <c r="R375" s="52"/>
    </row>
    <row r="376" spans="2:19" ht="82.8" x14ac:dyDescent="0.25">
      <c r="B376" s="51">
        <f>IF(F376&lt;&gt;"",1+MAX($B$22:B375),"")</f>
        <v>197</v>
      </c>
      <c r="C376" s="132"/>
      <c r="D376" s="10" t="s">
        <v>271</v>
      </c>
      <c r="E376" s="25" t="s">
        <v>86</v>
      </c>
      <c r="F376" s="41">
        <f>(41.95+20.14+16.74)</f>
        <v>78.83</v>
      </c>
      <c r="G376" s="19">
        <v>3.54</v>
      </c>
      <c r="H376" s="19">
        <f t="shared" si="109"/>
        <v>3.60372</v>
      </c>
      <c r="I376" s="19">
        <f t="shared" si="115"/>
        <v>284.08124759999998</v>
      </c>
      <c r="J376" s="17">
        <v>0.107</v>
      </c>
      <c r="K376" s="12">
        <f t="shared" ref="K376:K377" si="117">F376*J376</f>
        <v>8.4348099999999988</v>
      </c>
      <c r="L376" s="97" t="s">
        <v>655</v>
      </c>
      <c r="M376" s="98">
        <v>44.86</v>
      </c>
      <c r="N376" s="19">
        <f t="shared" si="111"/>
        <v>37.323519999999995</v>
      </c>
      <c r="O376" s="19">
        <f t="shared" ref="O376" si="118">J376*N376</f>
        <v>3.9936166399999995</v>
      </c>
      <c r="P376" s="19">
        <f t="shared" si="116"/>
        <v>314.81679973119998</v>
      </c>
      <c r="Q376" s="19">
        <f t="shared" si="113"/>
        <v>598.8980473311999</v>
      </c>
      <c r="R376" s="52"/>
    </row>
    <row r="377" spans="2:19" ht="96.6" x14ac:dyDescent="0.25">
      <c r="B377" s="51">
        <f>IF(F377&lt;&gt;"",1+MAX($B$22:B376),"")</f>
        <v>198</v>
      </c>
      <c r="C377" s="132"/>
      <c r="D377" s="10" t="s">
        <v>272</v>
      </c>
      <c r="E377" s="25" t="s">
        <v>82</v>
      </c>
      <c r="F377" s="41">
        <v>62.3</v>
      </c>
      <c r="G377" s="94"/>
      <c r="H377" s="19">
        <v>6</v>
      </c>
      <c r="I377" s="19">
        <f t="shared" si="115"/>
        <v>373.79999999999995</v>
      </c>
      <c r="J377" s="17">
        <v>0.114</v>
      </c>
      <c r="K377" s="12">
        <f t="shared" si="117"/>
        <v>7.1021999999999998</v>
      </c>
      <c r="L377" s="97" t="s">
        <v>658</v>
      </c>
      <c r="M377" s="98">
        <v>49.5</v>
      </c>
      <c r="N377" s="19">
        <f t="shared" si="111"/>
        <v>41.183999999999997</v>
      </c>
      <c r="O377" s="19">
        <f t="shared" si="112"/>
        <v>4.6949759999999996</v>
      </c>
      <c r="P377" s="19">
        <f t="shared" si="116"/>
        <v>292.49700479999996</v>
      </c>
      <c r="Q377" s="19">
        <f t="shared" si="113"/>
        <v>666.29700479999997</v>
      </c>
      <c r="R377" s="52"/>
    </row>
    <row r="378" spans="2:19" ht="82.8" x14ac:dyDescent="0.25">
      <c r="B378" s="51">
        <f>IF(F378&lt;&gt;"",1+MAX($B$22:B377),"")</f>
        <v>199</v>
      </c>
      <c r="C378" s="132"/>
      <c r="D378" s="10" t="s">
        <v>273</v>
      </c>
      <c r="E378" s="25" t="s">
        <v>82</v>
      </c>
      <c r="F378" s="41">
        <v>82.6</v>
      </c>
      <c r="G378" s="19">
        <v>3.24</v>
      </c>
      <c r="H378" s="19">
        <f t="shared" si="109"/>
        <v>3.2983200000000004</v>
      </c>
      <c r="I378" s="19">
        <f t="shared" si="115"/>
        <v>272.44123200000001</v>
      </c>
      <c r="J378" s="17">
        <v>0.114</v>
      </c>
      <c r="K378" s="12">
        <f t="shared" ref="K378" si="119">F378*J378</f>
        <v>9.4163999999999994</v>
      </c>
      <c r="L378" s="97" t="s">
        <v>658</v>
      </c>
      <c r="M378" s="98">
        <v>49.5</v>
      </c>
      <c r="N378" s="19">
        <f t="shared" si="111"/>
        <v>41.183999999999997</v>
      </c>
      <c r="O378" s="19">
        <f t="shared" ref="O378" si="120">J378*N378</f>
        <v>4.6949759999999996</v>
      </c>
      <c r="P378" s="19">
        <f t="shared" ref="P378" si="121">F378*O378</f>
        <v>387.80501759999993</v>
      </c>
      <c r="Q378" s="19">
        <f t="shared" si="113"/>
        <v>660.24624959999994</v>
      </c>
      <c r="R378" s="52"/>
    </row>
    <row r="379" spans="2:19" ht="96.6" x14ac:dyDescent="0.25">
      <c r="B379" s="51">
        <f>IF(F379&lt;&gt;"",1+MAX($B$22:B378),"")</f>
        <v>200</v>
      </c>
      <c r="C379" s="132"/>
      <c r="D379" s="10" t="s">
        <v>274</v>
      </c>
      <c r="E379" s="25" t="s">
        <v>82</v>
      </c>
      <c r="F379" s="41">
        <v>22.19</v>
      </c>
      <c r="G379" s="94"/>
      <c r="H379" s="19">
        <v>91</v>
      </c>
      <c r="I379" s="19">
        <f t="shared" si="115"/>
        <v>2019.2900000000002</v>
      </c>
      <c r="J379" s="17">
        <v>0.245</v>
      </c>
      <c r="K379" s="12">
        <f t="shared" si="110"/>
        <v>5.4365500000000004</v>
      </c>
      <c r="L379" s="97" t="s">
        <v>658</v>
      </c>
      <c r="M379" s="98">
        <v>49.5</v>
      </c>
      <c r="N379" s="19">
        <f t="shared" si="111"/>
        <v>41.183999999999997</v>
      </c>
      <c r="O379" s="19">
        <f t="shared" si="112"/>
        <v>10.090079999999999</v>
      </c>
      <c r="P379" s="19">
        <f t="shared" si="116"/>
        <v>223.89887519999999</v>
      </c>
      <c r="Q379" s="19">
        <f t="shared" si="113"/>
        <v>2243.1888752</v>
      </c>
      <c r="R379" s="52"/>
    </row>
    <row r="380" spans="2:19" ht="96.6" x14ac:dyDescent="0.25">
      <c r="B380" s="51">
        <f>IF(F380&lt;&gt;"",1+MAX($B$22:B379),"")</f>
        <v>201</v>
      </c>
      <c r="C380" s="132"/>
      <c r="D380" s="10" t="s">
        <v>275</v>
      </c>
      <c r="E380" s="25" t="s">
        <v>82</v>
      </c>
      <c r="F380" s="41">
        <v>75.88</v>
      </c>
      <c r="G380" s="94"/>
      <c r="H380" s="19">
        <v>6</v>
      </c>
      <c r="I380" s="19">
        <f t="shared" si="115"/>
        <v>455.28</v>
      </c>
      <c r="J380" s="17">
        <v>0.114</v>
      </c>
      <c r="K380" s="12">
        <f t="shared" si="110"/>
        <v>8.6503200000000007</v>
      </c>
      <c r="L380" s="97" t="s">
        <v>658</v>
      </c>
      <c r="M380" s="98">
        <v>49.5</v>
      </c>
      <c r="N380" s="19">
        <f t="shared" si="111"/>
        <v>41.183999999999997</v>
      </c>
      <c r="O380" s="19">
        <f t="shared" si="112"/>
        <v>4.6949759999999996</v>
      </c>
      <c r="P380" s="19">
        <f t="shared" si="116"/>
        <v>356.25477887999995</v>
      </c>
      <c r="Q380" s="19">
        <f t="shared" si="113"/>
        <v>811.53477887999998</v>
      </c>
      <c r="R380" s="52"/>
    </row>
    <row r="381" spans="2:19" ht="96.6" x14ac:dyDescent="0.25">
      <c r="B381" s="51">
        <f>IF(F381&lt;&gt;"",1+MAX($B$22:B380),"")</f>
        <v>202</v>
      </c>
      <c r="C381" s="132"/>
      <c r="D381" s="10" t="s">
        <v>276</v>
      </c>
      <c r="E381" s="25" t="s">
        <v>82</v>
      </c>
      <c r="F381" s="41">
        <v>26.78</v>
      </c>
      <c r="G381" s="94"/>
      <c r="H381" s="19">
        <v>3.2</v>
      </c>
      <c r="I381" s="19">
        <f t="shared" si="115"/>
        <v>85.696000000000012</v>
      </c>
      <c r="J381" s="17">
        <v>0.114</v>
      </c>
      <c r="K381" s="12">
        <f t="shared" si="110"/>
        <v>3.0529200000000003</v>
      </c>
      <c r="L381" s="97" t="s">
        <v>658</v>
      </c>
      <c r="M381" s="98">
        <v>49.5</v>
      </c>
      <c r="N381" s="19">
        <f t="shared" si="111"/>
        <v>41.183999999999997</v>
      </c>
      <c r="O381" s="19">
        <f t="shared" si="112"/>
        <v>4.6949759999999996</v>
      </c>
      <c r="P381" s="19">
        <f t="shared" si="116"/>
        <v>125.73145728</v>
      </c>
      <c r="Q381" s="19">
        <f t="shared" si="113"/>
        <v>211.42745728</v>
      </c>
      <c r="R381" s="52"/>
    </row>
    <row r="382" spans="2:19" ht="110.4" x14ac:dyDescent="0.25">
      <c r="B382" s="51">
        <f>IF(F382&lt;&gt;"",1+MAX($B$22:B381),"")</f>
        <v>203</v>
      </c>
      <c r="C382" s="132"/>
      <c r="D382" s="10" t="s">
        <v>277</v>
      </c>
      <c r="E382" s="25" t="s">
        <v>82</v>
      </c>
      <c r="F382" s="41">
        <v>52.1</v>
      </c>
      <c r="G382" s="94"/>
      <c r="H382" s="19">
        <v>3.2</v>
      </c>
      <c r="I382" s="19">
        <f t="shared" si="115"/>
        <v>166.72000000000003</v>
      </c>
      <c r="J382" s="17">
        <v>0.114</v>
      </c>
      <c r="K382" s="12">
        <f t="shared" si="110"/>
        <v>5.9394</v>
      </c>
      <c r="L382" s="97" t="s">
        <v>658</v>
      </c>
      <c r="M382" s="98">
        <v>49.5</v>
      </c>
      <c r="N382" s="19">
        <f t="shared" si="111"/>
        <v>41.183999999999997</v>
      </c>
      <c r="O382" s="19">
        <f t="shared" si="112"/>
        <v>4.6949759999999996</v>
      </c>
      <c r="P382" s="19">
        <f t="shared" si="116"/>
        <v>244.60824959999999</v>
      </c>
      <c r="Q382" s="19">
        <f t="shared" si="113"/>
        <v>411.32824960000005</v>
      </c>
      <c r="R382" s="52"/>
    </row>
    <row r="383" spans="2:19" ht="110.4" x14ac:dyDescent="0.25">
      <c r="B383" s="51">
        <f>IF(F383&lt;&gt;"",1+MAX($B$22:B382),"")</f>
        <v>204</v>
      </c>
      <c r="C383" s="132"/>
      <c r="D383" s="10" t="s">
        <v>659</v>
      </c>
      <c r="E383" s="25" t="s">
        <v>82</v>
      </c>
      <c r="F383" s="41">
        <v>15.95</v>
      </c>
      <c r="G383" s="94"/>
      <c r="H383" s="19">
        <v>20</v>
      </c>
      <c r="I383" s="19">
        <f t="shared" si="115"/>
        <v>319</v>
      </c>
      <c r="J383" s="17">
        <v>0.114</v>
      </c>
      <c r="K383" s="12">
        <f t="shared" si="110"/>
        <v>1.8183</v>
      </c>
      <c r="L383" s="97" t="s">
        <v>658</v>
      </c>
      <c r="M383" s="98">
        <v>49.5</v>
      </c>
      <c r="N383" s="19">
        <f t="shared" si="111"/>
        <v>41.183999999999997</v>
      </c>
      <c r="O383" s="19">
        <f t="shared" si="112"/>
        <v>4.6949759999999996</v>
      </c>
      <c r="P383" s="19">
        <f t="shared" si="116"/>
        <v>74.884867199999988</v>
      </c>
      <c r="Q383" s="19">
        <f t="shared" si="113"/>
        <v>393.88486719999997</v>
      </c>
      <c r="R383" s="52"/>
    </row>
    <row r="384" spans="2:19" ht="96.6" x14ac:dyDescent="0.25">
      <c r="B384" s="51">
        <f>IF(F384&lt;&gt;"",1+MAX($B$22:B383),"")</f>
        <v>205</v>
      </c>
      <c r="C384" s="132"/>
      <c r="D384" s="10" t="s">
        <v>278</v>
      </c>
      <c r="E384" s="25" t="s">
        <v>82</v>
      </c>
      <c r="F384" s="41">
        <v>60.41</v>
      </c>
      <c r="G384" s="94"/>
      <c r="H384" s="19">
        <v>3.2</v>
      </c>
      <c r="I384" s="19">
        <f t="shared" si="115"/>
        <v>193.31200000000001</v>
      </c>
      <c r="J384" s="17">
        <v>0.114</v>
      </c>
      <c r="K384" s="12">
        <f t="shared" ref="K384" si="122">F384*J384</f>
        <v>6.8867399999999996</v>
      </c>
      <c r="L384" s="97" t="s">
        <v>658</v>
      </c>
      <c r="M384" s="98">
        <v>49.5</v>
      </c>
      <c r="N384" s="19">
        <f t="shared" si="111"/>
        <v>41.183999999999997</v>
      </c>
      <c r="O384" s="19">
        <f t="shared" ref="O384" si="123">J384*N384</f>
        <v>4.6949759999999996</v>
      </c>
      <c r="P384" s="19">
        <f t="shared" ref="P384" si="124">F384*O384</f>
        <v>283.62350015999994</v>
      </c>
      <c r="Q384" s="19">
        <f t="shared" si="113"/>
        <v>476.93550015999995</v>
      </c>
      <c r="R384" s="52"/>
    </row>
    <row r="385" spans="2:18" x14ac:dyDescent="0.25">
      <c r="B385" s="51" t="str">
        <f>IF(F385&lt;&gt;"",1+MAX($B$22:B384),"")</f>
        <v/>
      </c>
      <c r="C385" s="75"/>
      <c r="D385" s="10"/>
      <c r="E385" s="25"/>
      <c r="F385" s="41"/>
      <c r="G385" s="19"/>
      <c r="H385" s="19">
        <f t="shared" si="109"/>
        <v>0</v>
      </c>
      <c r="I385" s="19">
        <f t="shared" si="115"/>
        <v>0</v>
      </c>
      <c r="J385" s="17"/>
      <c r="K385" s="12">
        <f t="shared" si="110"/>
        <v>0</v>
      </c>
      <c r="L385" s="12"/>
      <c r="M385" s="19"/>
      <c r="N385" s="19">
        <f t="shared" si="111"/>
        <v>0</v>
      </c>
      <c r="O385" s="19">
        <f t="shared" si="112"/>
        <v>0</v>
      </c>
      <c r="P385" s="19">
        <f t="shared" si="116"/>
        <v>0</v>
      </c>
      <c r="Q385" s="19">
        <f t="shared" si="113"/>
        <v>0</v>
      </c>
      <c r="R385" s="52"/>
    </row>
    <row r="386" spans="2:18" x14ac:dyDescent="0.25">
      <c r="B386" s="51" t="str">
        <f>IF(F386&lt;&gt;"",1+MAX($B$22:B385),"")</f>
        <v/>
      </c>
      <c r="C386" s="75"/>
      <c r="D386" s="53" t="s">
        <v>279</v>
      </c>
      <c r="E386" s="25"/>
      <c r="F386" s="41"/>
      <c r="G386" s="19"/>
      <c r="H386" s="19">
        <f t="shared" si="109"/>
        <v>0</v>
      </c>
      <c r="I386" s="19">
        <f t="shared" si="115"/>
        <v>0</v>
      </c>
      <c r="J386" s="17"/>
      <c r="K386" s="12">
        <f t="shared" si="110"/>
        <v>0</v>
      </c>
      <c r="L386" s="12"/>
      <c r="M386" s="19"/>
      <c r="N386" s="19">
        <f t="shared" si="111"/>
        <v>0</v>
      </c>
      <c r="O386" s="19">
        <f t="shared" si="112"/>
        <v>0</v>
      </c>
      <c r="P386" s="19">
        <f t="shared" si="116"/>
        <v>0</v>
      </c>
      <c r="Q386" s="19">
        <f t="shared" si="113"/>
        <v>0</v>
      </c>
      <c r="R386" s="52"/>
    </row>
    <row r="387" spans="2:18" ht="41.4" x14ac:dyDescent="0.25">
      <c r="B387" s="51">
        <f>IF(F387&lt;&gt;"",1+MAX($B$22:B386),"")</f>
        <v>206</v>
      </c>
      <c r="C387" s="132"/>
      <c r="D387" s="10" t="s">
        <v>280</v>
      </c>
      <c r="E387" s="25" t="s">
        <v>86</v>
      </c>
      <c r="F387" s="41">
        <v>699.2</v>
      </c>
      <c r="G387" s="19">
        <v>2.86</v>
      </c>
      <c r="H387" s="19">
        <f t="shared" si="109"/>
        <v>2.9114800000000001</v>
      </c>
      <c r="I387" s="19">
        <f t="shared" si="115"/>
        <v>2035.7068160000001</v>
      </c>
      <c r="J387" s="17">
        <v>3.6999999999999998E-2</v>
      </c>
      <c r="K387" s="12">
        <f t="shared" si="110"/>
        <v>25.8704</v>
      </c>
      <c r="L387" s="97" t="s">
        <v>658</v>
      </c>
      <c r="M387" s="98">
        <v>49.5</v>
      </c>
      <c r="N387" s="19">
        <f t="shared" si="111"/>
        <v>41.183999999999997</v>
      </c>
      <c r="O387" s="19">
        <f t="shared" si="112"/>
        <v>1.5238079999999998</v>
      </c>
      <c r="P387" s="19">
        <f t="shared" si="116"/>
        <v>1065.4465536</v>
      </c>
      <c r="Q387" s="19">
        <f t="shared" si="113"/>
        <v>3101.1533696000001</v>
      </c>
      <c r="R387" s="52"/>
    </row>
    <row r="388" spans="2:18" ht="96.6" x14ac:dyDescent="0.25">
      <c r="B388" s="51">
        <f>IF(F388&lt;&gt;"",1+MAX($B$22:B387),"")</f>
        <v>207</v>
      </c>
      <c r="C388" s="132"/>
      <c r="D388" s="10" t="s">
        <v>281</v>
      </c>
      <c r="E388" s="25" t="s">
        <v>86</v>
      </c>
      <c r="F388" s="41">
        <v>13.84</v>
      </c>
      <c r="G388" s="19">
        <v>2.25</v>
      </c>
      <c r="H388" s="19">
        <f t="shared" si="109"/>
        <v>2.2905000000000002</v>
      </c>
      <c r="I388" s="19">
        <f t="shared" si="115"/>
        <v>31.700520000000001</v>
      </c>
      <c r="J388" s="17">
        <v>2.1000000000000001E-2</v>
      </c>
      <c r="K388" s="12">
        <f t="shared" si="110"/>
        <v>0.29064000000000001</v>
      </c>
      <c r="L388" s="97" t="s">
        <v>658</v>
      </c>
      <c r="M388" s="98">
        <v>49.5</v>
      </c>
      <c r="N388" s="19">
        <f t="shared" si="111"/>
        <v>41.183999999999997</v>
      </c>
      <c r="O388" s="19">
        <f t="shared" si="112"/>
        <v>0.86486399999999997</v>
      </c>
      <c r="P388" s="19">
        <f t="shared" si="116"/>
        <v>11.96971776</v>
      </c>
      <c r="Q388" s="19">
        <f t="shared" si="113"/>
        <v>43.670237759999999</v>
      </c>
      <c r="R388" s="52"/>
    </row>
    <row r="389" spans="2:18" ht="96.6" x14ac:dyDescent="0.25">
      <c r="B389" s="51">
        <f>IF(F389&lt;&gt;"",1+MAX($B$22:B388),"")</f>
        <v>208</v>
      </c>
      <c r="C389" s="132"/>
      <c r="D389" s="10" t="s">
        <v>282</v>
      </c>
      <c r="E389" s="25" t="s">
        <v>86</v>
      </c>
      <c r="F389" s="41">
        <v>24.76</v>
      </c>
      <c r="G389" s="94"/>
      <c r="H389" s="19">
        <v>1.0656000000000001</v>
      </c>
      <c r="I389" s="19">
        <f t="shared" si="115"/>
        <v>26.384256000000004</v>
      </c>
      <c r="J389" s="17">
        <v>3.5000000000000003E-2</v>
      </c>
      <c r="K389" s="12">
        <f t="shared" ref="K389" si="125">F389*J389</f>
        <v>0.86660000000000015</v>
      </c>
      <c r="L389" s="97" t="s">
        <v>658</v>
      </c>
      <c r="M389" s="98">
        <v>49.5</v>
      </c>
      <c r="N389" s="19">
        <f t="shared" si="111"/>
        <v>41.183999999999997</v>
      </c>
      <c r="O389" s="19">
        <f t="shared" si="112"/>
        <v>1.4414400000000001</v>
      </c>
      <c r="P389" s="19">
        <f t="shared" si="116"/>
        <v>35.690054400000001</v>
      </c>
      <c r="Q389" s="19">
        <f t="shared" si="113"/>
        <v>62.074310400000002</v>
      </c>
      <c r="R389" s="52"/>
    </row>
    <row r="390" spans="2:18" ht="82.8" x14ac:dyDescent="0.25">
      <c r="B390" s="51">
        <f>IF(F390&lt;&gt;"",1+MAX($B$22:B389),"")</f>
        <v>209</v>
      </c>
      <c r="C390" s="132"/>
      <c r="D390" s="10" t="s">
        <v>283</v>
      </c>
      <c r="E390" s="25" t="s">
        <v>86</v>
      </c>
      <c r="F390" s="41">
        <v>43.2</v>
      </c>
      <c r="G390" s="19">
        <v>1.08</v>
      </c>
      <c r="H390" s="19">
        <f t="shared" si="109"/>
        <v>1.0994400000000002</v>
      </c>
      <c r="I390" s="19">
        <f t="shared" si="115"/>
        <v>47.495808000000011</v>
      </c>
      <c r="J390" s="17">
        <v>3.5000000000000003E-2</v>
      </c>
      <c r="K390" s="12">
        <f t="shared" ref="K390" si="126">F390*J390</f>
        <v>1.5120000000000002</v>
      </c>
      <c r="L390" s="97" t="s">
        <v>658</v>
      </c>
      <c r="M390" s="98">
        <v>49.5</v>
      </c>
      <c r="N390" s="19">
        <f t="shared" si="111"/>
        <v>41.183999999999997</v>
      </c>
      <c r="O390" s="19">
        <f t="shared" si="112"/>
        <v>1.4414400000000001</v>
      </c>
      <c r="P390" s="19">
        <f t="shared" si="116"/>
        <v>62.270208000000004</v>
      </c>
      <c r="Q390" s="19">
        <f t="shared" si="113"/>
        <v>109.76601600000001</v>
      </c>
      <c r="R390" s="52"/>
    </row>
    <row r="391" spans="2:18" x14ac:dyDescent="0.25">
      <c r="B391" s="51" t="str">
        <f>IF(F391&lt;&gt;"",1+MAX($B$22:B390),"")</f>
        <v/>
      </c>
      <c r="C391" s="55"/>
      <c r="D391" s="10"/>
      <c r="E391" s="25"/>
      <c r="F391" s="41"/>
      <c r="G391" s="19"/>
      <c r="H391" s="19">
        <f t="shared" si="109"/>
        <v>0</v>
      </c>
      <c r="I391" s="19">
        <f t="shared" si="115"/>
        <v>0</v>
      </c>
      <c r="J391" s="17"/>
      <c r="K391" s="12">
        <f t="shared" si="110"/>
        <v>0</v>
      </c>
      <c r="L391" s="12"/>
      <c r="M391" s="19"/>
      <c r="N391" s="19">
        <f t="shared" si="111"/>
        <v>0</v>
      </c>
      <c r="O391" s="19">
        <f t="shared" si="112"/>
        <v>0</v>
      </c>
      <c r="P391" s="19">
        <f t="shared" si="116"/>
        <v>0</v>
      </c>
      <c r="Q391" s="19">
        <f t="shared" si="113"/>
        <v>0</v>
      </c>
      <c r="R391" s="52"/>
    </row>
    <row r="392" spans="2:18" x14ac:dyDescent="0.25">
      <c r="B392" s="51" t="str">
        <f>IF(F392&lt;&gt;"",1+MAX($B$22:B391),"")</f>
        <v/>
      </c>
      <c r="C392" s="75"/>
      <c r="D392" s="53" t="s">
        <v>284</v>
      </c>
      <c r="E392" s="25"/>
      <c r="F392" s="41"/>
      <c r="G392" s="19"/>
      <c r="H392" s="19">
        <f t="shared" si="109"/>
        <v>0</v>
      </c>
      <c r="I392" s="19">
        <f t="shared" si="115"/>
        <v>0</v>
      </c>
      <c r="J392" s="17"/>
      <c r="K392" s="12">
        <f t="shared" si="110"/>
        <v>0</v>
      </c>
      <c r="L392" s="12"/>
      <c r="M392" s="19"/>
      <c r="N392" s="19">
        <f t="shared" si="111"/>
        <v>0</v>
      </c>
      <c r="O392" s="19">
        <f t="shared" si="112"/>
        <v>0</v>
      </c>
      <c r="P392" s="19">
        <f t="shared" si="116"/>
        <v>0</v>
      </c>
      <c r="Q392" s="19">
        <f t="shared" si="113"/>
        <v>0</v>
      </c>
      <c r="R392" s="52"/>
    </row>
    <row r="393" spans="2:18" ht="82.8" x14ac:dyDescent="0.25">
      <c r="B393" s="51">
        <f>IF(F393&lt;&gt;"",1+MAX($B$22:B392),"")</f>
        <v>210</v>
      </c>
      <c r="C393" s="132"/>
      <c r="D393" s="10" t="s">
        <v>285</v>
      </c>
      <c r="E393" s="25" t="s">
        <v>86</v>
      </c>
      <c r="F393" s="41">
        <v>37.380000000000003</v>
      </c>
      <c r="G393" s="19">
        <v>14.98</v>
      </c>
      <c r="H393" s="19">
        <f t="shared" si="109"/>
        <v>15.249640000000001</v>
      </c>
      <c r="I393" s="19">
        <f t="shared" si="115"/>
        <v>570.0315432000001</v>
      </c>
      <c r="J393" s="17">
        <v>0.16650987770460959</v>
      </c>
      <c r="K393" s="12">
        <f t="shared" si="110"/>
        <v>6.2241392285983066</v>
      </c>
      <c r="L393" s="97" t="s">
        <v>629</v>
      </c>
      <c r="M393" s="98">
        <v>53.15</v>
      </c>
      <c r="N393" s="19">
        <f t="shared" si="111"/>
        <v>44.220799999999997</v>
      </c>
      <c r="O393" s="19">
        <f t="shared" si="112"/>
        <v>7.3631999999999991</v>
      </c>
      <c r="P393" s="19">
        <f t="shared" si="116"/>
        <v>275.23641599999996</v>
      </c>
      <c r="Q393" s="19">
        <f t="shared" si="113"/>
        <v>845.26795920000006</v>
      </c>
      <c r="R393" s="52"/>
    </row>
    <row r="394" spans="2:18" x14ac:dyDescent="0.25">
      <c r="B394" s="51" t="str">
        <f>IF(F394&lt;&gt;"",1+MAX($B$22:B393),"")</f>
        <v/>
      </c>
      <c r="C394" s="132"/>
      <c r="D394" s="10"/>
      <c r="E394" s="25"/>
      <c r="F394" s="41"/>
      <c r="G394" s="19"/>
      <c r="H394" s="19">
        <f t="shared" si="109"/>
        <v>0</v>
      </c>
      <c r="I394" s="19">
        <f t="shared" si="115"/>
        <v>0</v>
      </c>
      <c r="J394" s="17"/>
      <c r="K394" s="12">
        <f t="shared" si="110"/>
        <v>0</v>
      </c>
      <c r="L394" s="12"/>
      <c r="M394" s="19"/>
      <c r="N394" s="19">
        <f t="shared" si="111"/>
        <v>0</v>
      </c>
      <c r="O394" s="19">
        <f t="shared" si="112"/>
        <v>0</v>
      </c>
      <c r="P394" s="19">
        <f t="shared" si="116"/>
        <v>0</v>
      </c>
      <c r="Q394" s="19">
        <f t="shared" si="113"/>
        <v>0</v>
      </c>
      <c r="R394" s="52"/>
    </row>
    <row r="395" spans="2:18" x14ac:dyDescent="0.25">
      <c r="B395" s="51" t="str">
        <f>IF(F395&lt;&gt;"",1+MAX($B$22:B394),"")</f>
        <v/>
      </c>
      <c r="C395" s="75"/>
      <c r="D395" s="53" t="s">
        <v>286</v>
      </c>
      <c r="E395" s="25"/>
      <c r="F395" s="41"/>
      <c r="G395" s="19"/>
      <c r="H395" s="19">
        <f t="shared" si="109"/>
        <v>0</v>
      </c>
      <c r="I395" s="19">
        <f t="shared" si="115"/>
        <v>0</v>
      </c>
      <c r="J395" s="17"/>
      <c r="K395" s="12">
        <f t="shared" si="110"/>
        <v>0</v>
      </c>
      <c r="L395" s="12"/>
      <c r="M395" s="19"/>
      <c r="N395" s="19">
        <f t="shared" si="111"/>
        <v>0</v>
      </c>
      <c r="O395" s="19">
        <f t="shared" si="112"/>
        <v>0</v>
      </c>
      <c r="P395" s="19">
        <f t="shared" si="116"/>
        <v>0</v>
      </c>
      <c r="Q395" s="19">
        <f t="shared" si="113"/>
        <v>0</v>
      </c>
      <c r="R395" s="52"/>
    </row>
    <row r="396" spans="2:18" ht="96.6" x14ac:dyDescent="0.25">
      <c r="B396" s="51">
        <f>IF(F396&lt;&gt;"",1+MAX($B$22:B395),"")</f>
        <v>211</v>
      </c>
      <c r="C396" s="132" t="s">
        <v>219</v>
      </c>
      <c r="D396" s="10" t="s">
        <v>287</v>
      </c>
      <c r="E396" s="25" t="s">
        <v>86</v>
      </c>
      <c r="F396" s="41">
        <v>68.13</v>
      </c>
      <c r="G396" s="19">
        <v>6.62</v>
      </c>
      <c r="H396" s="19">
        <f t="shared" si="109"/>
        <v>6.73916</v>
      </c>
      <c r="I396" s="19">
        <f t="shared" si="115"/>
        <v>459.13897079999998</v>
      </c>
      <c r="J396" s="17">
        <v>2.1000000000000001E-2</v>
      </c>
      <c r="K396" s="12">
        <f t="shared" si="110"/>
        <v>1.4307300000000001</v>
      </c>
      <c r="L396" s="97" t="s">
        <v>658</v>
      </c>
      <c r="M396" s="98">
        <v>49.5</v>
      </c>
      <c r="N396" s="19">
        <f t="shared" si="111"/>
        <v>41.183999999999997</v>
      </c>
      <c r="O396" s="19">
        <f t="shared" si="112"/>
        <v>0.86486399999999997</v>
      </c>
      <c r="P396" s="19">
        <f t="shared" si="116"/>
        <v>58.923184319999997</v>
      </c>
      <c r="Q396" s="19">
        <f t="shared" si="113"/>
        <v>518.06215511999994</v>
      </c>
      <c r="R396" s="52"/>
    </row>
    <row r="397" spans="2:18" ht="82.8" x14ac:dyDescent="0.25">
      <c r="B397" s="51">
        <f>IF(F397&lt;&gt;"",1+MAX($B$22:B396),"")</f>
        <v>212</v>
      </c>
      <c r="C397" s="132"/>
      <c r="D397" s="10" t="s">
        <v>288</v>
      </c>
      <c r="E397" s="25" t="s">
        <v>86</v>
      </c>
      <c r="F397" s="41">
        <v>68.13</v>
      </c>
      <c r="G397" s="19">
        <v>1.91</v>
      </c>
      <c r="H397" s="19">
        <f t="shared" si="109"/>
        <v>1.94438</v>
      </c>
      <c r="I397" s="19">
        <f t="shared" si="115"/>
        <v>132.4706094</v>
      </c>
      <c r="J397" s="17">
        <v>2.1000000000000001E-2</v>
      </c>
      <c r="K397" s="12">
        <f t="shared" si="110"/>
        <v>1.4307300000000001</v>
      </c>
      <c r="L397" s="97" t="s">
        <v>658</v>
      </c>
      <c r="M397" s="98">
        <v>49.5</v>
      </c>
      <c r="N397" s="19">
        <f t="shared" si="111"/>
        <v>41.183999999999997</v>
      </c>
      <c r="O397" s="19">
        <f t="shared" si="112"/>
        <v>0.86486399999999997</v>
      </c>
      <c r="P397" s="19">
        <f t="shared" si="116"/>
        <v>58.923184319999997</v>
      </c>
      <c r="Q397" s="19">
        <f t="shared" si="113"/>
        <v>191.39379371999999</v>
      </c>
      <c r="R397" s="52"/>
    </row>
    <row r="398" spans="2:18" ht="96.6" x14ac:dyDescent="0.25">
      <c r="B398" s="51">
        <f>IF(F398&lt;&gt;"",1+MAX($B$22:B397),"")</f>
        <v>213</v>
      </c>
      <c r="C398" s="132"/>
      <c r="D398" s="10" t="s">
        <v>289</v>
      </c>
      <c r="E398" s="25" t="s">
        <v>86</v>
      </c>
      <c r="F398" s="41">
        <v>33.82</v>
      </c>
      <c r="G398" s="19">
        <v>1.98</v>
      </c>
      <c r="H398" s="19">
        <f t="shared" si="109"/>
        <v>2.0156399999999999</v>
      </c>
      <c r="I398" s="19">
        <f t="shared" si="115"/>
        <v>68.168944799999991</v>
      </c>
      <c r="J398" s="17">
        <v>2.1000000000000001E-2</v>
      </c>
      <c r="K398" s="12">
        <f t="shared" si="110"/>
        <v>0.71022000000000007</v>
      </c>
      <c r="L398" s="97" t="s">
        <v>658</v>
      </c>
      <c r="M398" s="98">
        <v>49.5</v>
      </c>
      <c r="N398" s="19">
        <f t="shared" si="111"/>
        <v>41.183999999999997</v>
      </c>
      <c r="O398" s="19">
        <f t="shared" si="112"/>
        <v>0.86486399999999997</v>
      </c>
      <c r="P398" s="19">
        <f t="shared" si="116"/>
        <v>29.249700479999998</v>
      </c>
      <c r="Q398" s="19">
        <f t="shared" si="113"/>
        <v>97.418645279999993</v>
      </c>
      <c r="R398" s="52"/>
    </row>
    <row r="399" spans="2:18" ht="96.6" x14ac:dyDescent="0.25">
      <c r="B399" s="51">
        <f>IF(F399&lt;&gt;"",1+MAX($B$22:B398),"")</f>
        <v>214</v>
      </c>
      <c r="C399" s="132"/>
      <c r="D399" s="10" t="s">
        <v>290</v>
      </c>
      <c r="E399" s="25" t="s">
        <v>86</v>
      </c>
      <c r="F399" s="41">
        <v>7.88</v>
      </c>
      <c r="G399" s="19">
        <v>6.62</v>
      </c>
      <c r="H399" s="19">
        <f t="shared" si="109"/>
        <v>6.73916</v>
      </c>
      <c r="I399" s="19">
        <f t="shared" si="115"/>
        <v>53.104580800000001</v>
      </c>
      <c r="J399" s="17">
        <v>2.1000000000000001E-2</v>
      </c>
      <c r="K399" s="12">
        <f t="shared" si="110"/>
        <v>0.16548000000000002</v>
      </c>
      <c r="L399" s="97" t="s">
        <v>658</v>
      </c>
      <c r="M399" s="98">
        <v>49.5</v>
      </c>
      <c r="N399" s="19">
        <f t="shared" si="111"/>
        <v>41.183999999999997</v>
      </c>
      <c r="O399" s="19">
        <f t="shared" si="112"/>
        <v>0.86486399999999997</v>
      </c>
      <c r="P399" s="19">
        <f t="shared" si="116"/>
        <v>6.8151283199999995</v>
      </c>
      <c r="Q399" s="19">
        <f t="shared" si="113"/>
        <v>59.91970912</v>
      </c>
      <c r="R399" s="52"/>
    </row>
    <row r="400" spans="2:18" ht="96.6" x14ac:dyDescent="0.25">
      <c r="B400" s="51">
        <f>IF(F400&lt;&gt;"",1+MAX($B$22:B399),"")</f>
        <v>215</v>
      </c>
      <c r="C400" s="132"/>
      <c r="D400" s="10" t="s">
        <v>291</v>
      </c>
      <c r="E400" s="25" t="s">
        <v>86</v>
      </c>
      <c r="F400" s="41">
        <v>77.22</v>
      </c>
      <c r="G400" s="19">
        <v>6.62</v>
      </c>
      <c r="H400" s="19">
        <f t="shared" si="109"/>
        <v>6.73916</v>
      </c>
      <c r="I400" s="19">
        <f t="shared" si="115"/>
        <v>520.39793520000001</v>
      </c>
      <c r="J400" s="17">
        <v>2.1000000000000001E-2</v>
      </c>
      <c r="K400" s="12">
        <f t="shared" si="110"/>
        <v>1.6216200000000001</v>
      </c>
      <c r="L400" s="97" t="s">
        <v>658</v>
      </c>
      <c r="M400" s="98">
        <v>49.5</v>
      </c>
      <c r="N400" s="19">
        <f t="shared" si="111"/>
        <v>41.183999999999997</v>
      </c>
      <c r="O400" s="19">
        <f t="shared" si="112"/>
        <v>0.86486399999999997</v>
      </c>
      <c r="P400" s="19">
        <f t="shared" si="116"/>
        <v>66.784798080000002</v>
      </c>
      <c r="Q400" s="19">
        <f t="shared" si="113"/>
        <v>587.18273327999998</v>
      </c>
      <c r="R400" s="52"/>
    </row>
    <row r="401" spans="2:18" ht="96.6" x14ac:dyDescent="0.25">
      <c r="B401" s="51">
        <f>IF(F401&lt;&gt;"",1+MAX($B$22:B400),"")</f>
        <v>216</v>
      </c>
      <c r="C401" s="132"/>
      <c r="D401" s="10" t="s">
        <v>292</v>
      </c>
      <c r="E401" s="25" t="s">
        <v>86</v>
      </c>
      <c r="F401" s="41">
        <v>77.22</v>
      </c>
      <c r="G401" s="19">
        <v>1.91</v>
      </c>
      <c r="H401" s="19">
        <f t="shared" si="109"/>
        <v>1.94438</v>
      </c>
      <c r="I401" s="19">
        <f t="shared" si="115"/>
        <v>150.1450236</v>
      </c>
      <c r="J401" s="17">
        <v>2.1000000000000001E-2</v>
      </c>
      <c r="K401" s="12">
        <f t="shared" si="110"/>
        <v>1.6216200000000001</v>
      </c>
      <c r="L401" s="97" t="s">
        <v>658</v>
      </c>
      <c r="M401" s="98">
        <v>49.5</v>
      </c>
      <c r="N401" s="19">
        <f t="shared" si="111"/>
        <v>41.183999999999997</v>
      </c>
      <c r="O401" s="19">
        <f t="shared" si="112"/>
        <v>0.86486399999999997</v>
      </c>
      <c r="P401" s="19">
        <f t="shared" si="116"/>
        <v>66.784798080000002</v>
      </c>
      <c r="Q401" s="19">
        <f t="shared" si="113"/>
        <v>216.92982168</v>
      </c>
      <c r="R401" s="52"/>
    </row>
    <row r="402" spans="2:18" ht="96.6" x14ac:dyDescent="0.25">
      <c r="B402" s="51">
        <f>IF(F402&lt;&gt;"",1+MAX($B$22:B401),"")</f>
        <v>217</v>
      </c>
      <c r="C402" s="132"/>
      <c r="D402" s="10" t="s">
        <v>293</v>
      </c>
      <c r="E402" s="25" t="s">
        <v>86</v>
      </c>
      <c r="F402" s="41">
        <v>7.46</v>
      </c>
      <c r="G402" s="19">
        <v>1.98</v>
      </c>
      <c r="H402" s="19">
        <f t="shared" si="109"/>
        <v>2.0156399999999999</v>
      </c>
      <c r="I402" s="19">
        <f t="shared" si="115"/>
        <v>15.036674399999999</v>
      </c>
      <c r="J402" s="17">
        <v>2.1000000000000001E-2</v>
      </c>
      <c r="K402" s="12">
        <f t="shared" si="110"/>
        <v>0.15666000000000002</v>
      </c>
      <c r="L402" s="97" t="s">
        <v>658</v>
      </c>
      <c r="M402" s="98">
        <v>49.5</v>
      </c>
      <c r="N402" s="19">
        <f t="shared" si="111"/>
        <v>41.183999999999997</v>
      </c>
      <c r="O402" s="19">
        <f t="shared" si="112"/>
        <v>0.86486399999999997</v>
      </c>
      <c r="P402" s="19">
        <f t="shared" si="116"/>
        <v>6.4518854399999999</v>
      </c>
      <c r="Q402" s="19">
        <f t="shared" si="113"/>
        <v>21.488559840000001</v>
      </c>
      <c r="R402" s="52"/>
    </row>
    <row r="403" spans="2:18" ht="96.6" x14ac:dyDescent="0.25">
      <c r="B403" s="51">
        <f>IF(F403&lt;&gt;"",1+MAX($B$22:B402),"")</f>
        <v>218</v>
      </c>
      <c r="C403" s="132"/>
      <c r="D403" s="10" t="s">
        <v>294</v>
      </c>
      <c r="E403" s="25" t="s">
        <v>86</v>
      </c>
      <c r="F403" s="41">
        <v>35.380000000000003</v>
      </c>
      <c r="G403" s="94"/>
      <c r="H403" s="19">
        <v>4</v>
      </c>
      <c r="I403" s="19">
        <f t="shared" si="115"/>
        <v>141.52000000000001</v>
      </c>
      <c r="J403" s="17">
        <v>2.1000000000000001E-2</v>
      </c>
      <c r="K403" s="12">
        <f t="shared" si="110"/>
        <v>0.74298000000000008</v>
      </c>
      <c r="L403" s="97" t="s">
        <v>658</v>
      </c>
      <c r="M403" s="98">
        <v>49.5</v>
      </c>
      <c r="N403" s="19">
        <f t="shared" si="111"/>
        <v>41.183999999999997</v>
      </c>
      <c r="O403" s="19">
        <f t="shared" si="112"/>
        <v>0.86486399999999997</v>
      </c>
      <c r="P403" s="19">
        <f t="shared" si="116"/>
        <v>30.59888832</v>
      </c>
      <c r="Q403" s="19">
        <f t="shared" si="113"/>
        <v>172.11888832</v>
      </c>
      <c r="R403" s="52"/>
    </row>
    <row r="404" spans="2:18" ht="82.8" x14ac:dyDescent="0.25">
      <c r="B404" s="51">
        <f>IF(F404&lt;&gt;"",1+MAX($B$22:B403),"")</f>
        <v>219</v>
      </c>
      <c r="C404" s="132"/>
      <c r="D404" s="10" t="s">
        <v>295</v>
      </c>
      <c r="E404" s="25" t="s">
        <v>86</v>
      </c>
      <c r="F404" s="41">
        <v>48.89</v>
      </c>
      <c r="G404" s="19">
        <v>6.62</v>
      </c>
      <c r="H404" s="19">
        <f t="shared" si="109"/>
        <v>6.73916</v>
      </c>
      <c r="I404" s="19">
        <f t="shared" ref="I404:I406" si="127">F404*H404</f>
        <v>329.47753240000003</v>
      </c>
      <c r="J404" s="17">
        <v>2.1000000000000001E-2</v>
      </c>
      <c r="K404" s="12">
        <f t="shared" ref="K404:K406" si="128">F404*J404</f>
        <v>1.0266900000000001</v>
      </c>
      <c r="L404" s="97" t="s">
        <v>658</v>
      </c>
      <c r="M404" s="98">
        <v>49.5</v>
      </c>
      <c r="N404" s="19">
        <f t="shared" si="111"/>
        <v>41.183999999999997</v>
      </c>
      <c r="O404" s="19">
        <f t="shared" si="112"/>
        <v>0.86486399999999997</v>
      </c>
      <c r="P404" s="19">
        <f t="shared" si="116"/>
        <v>42.283200960000002</v>
      </c>
      <c r="Q404" s="19">
        <f t="shared" si="113"/>
        <v>371.76073336000002</v>
      </c>
      <c r="R404" s="52"/>
    </row>
    <row r="405" spans="2:18" ht="82.8" x14ac:dyDescent="0.25">
      <c r="B405" s="51">
        <f>IF(F405&lt;&gt;"",1+MAX($B$22:B404),"")</f>
        <v>220</v>
      </c>
      <c r="C405" s="132"/>
      <c r="D405" s="10" t="s">
        <v>296</v>
      </c>
      <c r="E405" s="25" t="s">
        <v>86</v>
      </c>
      <c r="F405" s="41">
        <v>48.89</v>
      </c>
      <c r="G405" s="19">
        <v>1.91</v>
      </c>
      <c r="H405" s="19">
        <f t="shared" si="109"/>
        <v>1.94438</v>
      </c>
      <c r="I405" s="19">
        <f t="shared" si="127"/>
        <v>95.060738200000003</v>
      </c>
      <c r="J405" s="17">
        <v>2.1000000000000001E-2</v>
      </c>
      <c r="K405" s="12">
        <f t="shared" si="128"/>
        <v>1.0266900000000001</v>
      </c>
      <c r="L405" s="97" t="s">
        <v>658</v>
      </c>
      <c r="M405" s="98">
        <v>49.5</v>
      </c>
      <c r="N405" s="19">
        <f t="shared" si="111"/>
        <v>41.183999999999997</v>
      </c>
      <c r="O405" s="19">
        <f t="shared" si="112"/>
        <v>0.86486399999999997</v>
      </c>
      <c r="P405" s="19">
        <f t="shared" si="116"/>
        <v>42.283200960000002</v>
      </c>
      <c r="Q405" s="19">
        <f t="shared" si="113"/>
        <v>137.34393915999999</v>
      </c>
      <c r="R405" s="52"/>
    </row>
    <row r="406" spans="2:18" ht="82.8" x14ac:dyDescent="0.25">
      <c r="B406" s="51">
        <f>IF(F406&lt;&gt;"",1+MAX($B$22:B405),"")</f>
        <v>221</v>
      </c>
      <c r="C406" s="132"/>
      <c r="D406" s="10" t="s">
        <v>297</v>
      </c>
      <c r="E406" s="25" t="s">
        <v>86</v>
      </c>
      <c r="F406" s="41">
        <v>5</v>
      </c>
      <c r="G406" s="19">
        <v>1.91</v>
      </c>
      <c r="H406" s="19">
        <f t="shared" si="109"/>
        <v>1.94438</v>
      </c>
      <c r="I406" s="19">
        <f t="shared" si="127"/>
        <v>9.7218999999999998</v>
      </c>
      <c r="J406" s="17">
        <v>2.1000000000000001E-2</v>
      </c>
      <c r="K406" s="12">
        <f t="shared" si="128"/>
        <v>0.10500000000000001</v>
      </c>
      <c r="L406" s="97" t="s">
        <v>658</v>
      </c>
      <c r="M406" s="98">
        <v>49.5</v>
      </c>
      <c r="N406" s="19">
        <f t="shared" si="111"/>
        <v>41.183999999999997</v>
      </c>
      <c r="O406" s="19">
        <f t="shared" si="112"/>
        <v>0.86486399999999997</v>
      </c>
      <c r="P406" s="19">
        <f t="shared" si="116"/>
        <v>4.3243200000000002</v>
      </c>
      <c r="Q406" s="19">
        <f t="shared" si="113"/>
        <v>14.04622</v>
      </c>
      <c r="R406" s="52"/>
    </row>
    <row r="407" spans="2:18" x14ac:dyDescent="0.25">
      <c r="B407" s="51" t="str">
        <f>IF(F407&lt;&gt;"",1+MAX($B$22:B406),"")</f>
        <v/>
      </c>
      <c r="C407" s="55"/>
      <c r="D407" s="10"/>
      <c r="E407" s="25"/>
      <c r="F407" s="41"/>
      <c r="G407" s="19"/>
      <c r="H407" s="19">
        <f t="shared" si="109"/>
        <v>0</v>
      </c>
      <c r="I407" s="19">
        <f t="shared" si="115"/>
        <v>0</v>
      </c>
      <c r="J407" s="17"/>
      <c r="K407" s="12">
        <f t="shared" si="110"/>
        <v>0</v>
      </c>
      <c r="L407" s="12"/>
      <c r="M407" s="19"/>
      <c r="N407" s="19">
        <f t="shared" si="111"/>
        <v>0</v>
      </c>
      <c r="O407" s="19">
        <f t="shared" si="112"/>
        <v>0</v>
      </c>
      <c r="P407" s="19">
        <f t="shared" si="116"/>
        <v>0</v>
      </c>
      <c r="Q407" s="19">
        <f t="shared" si="113"/>
        <v>0</v>
      </c>
      <c r="R407" s="52"/>
    </row>
    <row r="408" spans="2:18" x14ac:dyDescent="0.25">
      <c r="B408" s="70" t="str">
        <f>IF(F408&lt;&gt;"",1+MAX($B$22:B407),"")</f>
        <v/>
      </c>
      <c r="C408" s="71"/>
      <c r="D408" s="72" t="s">
        <v>298</v>
      </c>
      <c r="E408" s="25"/>
      <c r="F408" s="41"/>
      <c r="G408" s="19"/>
      <c r="H408" s="19">
        <f t="shared" si="109"/>
        <v>0</v>
      </c>
      <c r="I408" s="19">
        <f t="shared" si="115"/>
        <v>0</v>
      </c>
      <c r="J408" s="17"/>
      <c r="K408" s="12">
        <f t="shared" si="110"/>
        <v>0</v>
      </c>
      <c r="L408" s="12"/>
      <c r="M408" s="19"/>
      <c r="N408" s="19">
        <f t="shared" si="111"/>
        <v>0</v>
      </c>
      <c r="O408" s="19">
        <f t="shared" si="112"/>
        <v>0</v>
      </c>
      <c r="P408" s="19">
        <f t="shared" si="116"/>
        <v>0</v>
      </c>
      <c r="Q408" s="19">
        <f t="shared" si="113"/>
        <v>0</v>
      </c>
      <c r="R408" s="52"/>
    </row>
    <row r="409" spans="2:18" ht="96.6" x14ac:dyDescent="0.25">
      <c r="B409" s="51">
        <f>IF(F409&lt;&gt;"",1+MAX($B$22:B408),"")</f>
        <v>222</v>
      </c>
      <c r="C409" s="132" t="s">
        <v>219</v>
      </c>
      <c r="D409" s="10" t="s">
        <v>299</v>
      </c>
      <c r="E409" s="25" t="s">
        <v>82</v>
      </c>
      <c r="F409" s="41">
        <v>15.96</v>
      </c>
      <c r="G409" s="94"/>
      <c r="H409" s="19">
        <v>29.95</v>
      </c>
      <c r="I409" s="19">
        <f t="shared" si="115"/>
        <v>478.00200000000001</v>
      </c>
      <c r="J409" s="17">
        <v>0.14299999999999999</v>
      </c>
      <c r="K409" s="12">
        <f t="shared" si="110"/>
        <v>2.2822800000000001</v>
      </c>
      <c r="L409" s="97" t="s">
        <v>658</v>
      </c>
      <c r="M409" s="98">
        <v>49.5</v>
      </c>
      <c r="N409" s="19">
        <f t="shared" si="111"/>
        <v>41.183999999999997</v>
      </c>
      <c r="O409" s="19">
        <f t="shared" si="112"/>
        <v>5.8893119999999994</v>
      </c>
      <c r="P409" s="19">
        <f t="shared" si="116"/>
        <v>93.993419519999989</v>
      </c>
      <c r="Q409" s="19">
        <f t="shared" si="113"/>
        <v>571.99541952000004</v>
      </c>
      <c r="R409" s="52"/>
    </row>
    <row r="410" spans="2:18" ht="69" x14ac:dyDescent="0.25">
      <c r="B410" s="51">
        <f>IF(F410&lt;&gt;"",1+MAX($B$22:B409),"")</f>
        <v>223</v>
      </c>
      <c r="C410" s="132"/>
      <c r="D410" s="10" t="s">
        <v>300</v>
      </c>
      <c r="E410" s="25" t="s">
        <v>82</v>
      </c>
      <c r="F410" s="41">
        <v>19.48</v>
      </c>
      <c r="G410" s="94"/>
      <c r="H410" s="19">
        <v>7.65</v>
      </c>
      <c r="I410" s="19">
        <f t="shared" si="115"/>
        <v>149.02200000000002</v>
      </c>
      <c r="J410" s="17">
        <v>0.14299999999999999</v>
      </c>
      <c r="K410" s="12">
        <f t="shared" ref="K410:K411" si="129">F410*J410</f>
        <v>2.7856399999999999</v>
      </c>
      <c r="L410" s="97" t="s">
        <v>658</v>
      </c>
      <c r="M410" s="98">
        <v>49.5</v>
      </c>
      <c r="N410" s="19">
        <f t="shared" si="111"/>
        <v>41.183999999999997</v>
      </c>
      <c r="O410" s="19">
        <f t="shared" si="112"/>
        <v>5.8893119999999994</v>
      </c>
      <c r="P410" s="19">
        <f t="shared" si="116"/>
        <v>114.72379776</v>
      </c>
      <c r="Q410" s="19">
        <f t="shared" si="113"/>
        <v>263.74579776000002</v>
      </c>
      <c r="R410" s="52"/>
    </row>
    <row r="411" spans="2:18" ht="96.6" x14ac:dyDescent="0.25">
      <c r="B411" s="51">
        <f>IF(F411&lt;&gt;"",1+MAX($B$22:B410),"")</f>
        <v>224</v>
      </c>
      <c r="C411" s="132"/>
      <c r="D411" s="10" t="s">
        <v>301</v>
      </c>
      <c r="E411" s="25" t="s">
        <v>82</v>
      </c>
      <c r="F411" s="41">
        <v>5.62</v>
      </c>
      <c r="G411" s="94"/>
      <c r="H411" s="19">
        <v>91</v>
      </c>
      <c r="I411" s="19">
        <f t="shared" ref="I411" si="130">F411*H411</f>
        <v>511.42</v>
      </c>
      <c r="J411" s="17">
        <v>0.245</v>
      </c>
      <c r="K411" s="12">
        <f t="shared" si="129"/>
        <v>1.3769</v>
      </c>
      <c r="L411" s="97" t="s">
        <v>658</v>
      </c>
      <c r="M411" s="98">
        <v>49.5</v>
      </c>
      <c r="N411" s="19">
        <f t="shared" si="111"/>
        <v>41.183999999999997</v>
      </c>
      <c r="O411" s="19">
        <f t="shared" ref="O411" si="131">J411*N411</f>
        <v>10.090079999999999</v>
      </c>
      <c r="P411" s="19">
        <f t="shared" ref="P411" si="132">F411*O411</f>
        <v>56.706249599999992</v>
      </c>
      <c r="Q411" s="19">
        <f t="shared" ref="Q411" si="133">I411+P411</f>
        <v>568.12624960000005</v>
      </c>
      <c r="R411" s="52"/>
    </row>
    <row r="412" spans="2:18" ht="110.4" x14ac:dyDescent="0.25">
      <c r="B412" s="51">
        <f>IF(F412&lt;&gt;"",1+MAX($B$22:B411),"")</f>
        <v>225</v>
      </c>
      <c r="C412" s="132"/>
      <c r="D412" s="10" t="s">
        <v>302</v>
      </c>
      <c r="E412" s="25" t="s">
        <v>82</v>
      </c>
      <c r="F412" s="41">
        <v>76.040000000000006</v>
      </c>
      <c r="G412" s="94"/>
      <c r="H412" s="19">
        <v>3.2</v>
      </c>
      <c r="I412" s="19">
        <f t="shared" si="115"/>
        <v>243.32800000000003</v>
      </c>
      <c r="J412" s="17">
        <v>0.14299999999999999</v>
      </c>
      <c r="K412" s="12">
        <f t="shared" ref="K412" si="134">F412*J412</f>
        <v>10.87372</v>
      </c>
      <c r="L412" s="97" t="s">
        <v>658</v>
      </c>
      <c r="M412" s="98">
        <v>49.5</v>
      </c>
      <c r="N412" s="19">
        <f t="shared" si="111"/>
        <v>41.183999999999997</v>
      </c>
      <c r="O412" s="19">
        <f t="shared" si="112"/>
        <v>5.8893119999999994</v>
      </c>
      <c r="P412" s="19">
        <f t="shared" si="116"/>
        <v>447.82328447999998</v>
      </c>
      <c r="Q412" s="19">
        <f t="shared" si="113"/>
        <v>691.15128447999996</v>
      </c>
      <c r="R412" s="52"/>
    </row>
    <row r="413" spans="2:18" ht="96.6" x14ac:dyDescent="0.25">
      <c r="B413" s="51">
        <f>IF(F413&lt;&gt;"",1+MAX($B$22:B412),"")</f>
        <v>226</v>
      </c>
      <c r="C413" s="132"/>
      <c r="D413" s="10" t="s">
        <v>303</v>
      </c>
      <c r="E413" s="25" t="s">
        <v>86</v>
      </c>
      <c r="F413" s="41">
        <v>20.5</v>
      </c>
      <c r="G413" s="94"/>
      <c r="H413" s="19">
        <v>4</v>
      </c>
      <c r="I413" s="19">
        <f t="shared" si="115"/>
        <v>82</v>
      </c>
      <c r="J413" s="17">
        <v>3.5000000000000003E-2</v>
      </c>
      <c r="K413" s="12">
        <f t="shared" si="110"/>
        <v>0.71750000000000003</v>
      </c>
      <c r="L413" s="97" t="s">
        <v>658</v>
      </c>
      <c r="M413" s="98">
        <v>49.5</v>
      </c>
      <c r="N413" s="19">
        <f t="shared" si="111"/>
        <v>41.183999999999997</v>
      </c>
      <c r="O413" s="19">
        <f t="shared" si="112"/>
        <v>1.4414400000000001</v>
      </c>
      <c r="P413" s="19">
        <f t="shared" si="116"/>
        <v>29.549520000000001</v>
      </c>
      <c r="Q413" s="19">
        <f t="shared" si="113"/>
        <v>111.54952</v>
      </c>
      <c r="R413" s="52"/>
    </row>
    <row r="414" spans="2:18" ht="96.6" x14ac:dyDescent="0.25">
      <c r="B414" s="51">
        <f>IF(F414&lt;&gt;"",1+MAX($B$22:B413),"")</f>
        <v>227</v>
      </c>
      <c r="C414" s="132"/>
      <c r="D414" s="10" t="s">
        <v>304</v>
      </c>
      <c r="E414" s="25" t="s">
        <v>82</v>
      </c>
      <c r="F414" s="41">
        <v>26.37</v>
      </c>
      <c r="G414" s="94"/>
      <c r="H414" s="19">
        <v>9.9499999999999993</v>
      </c>
      <c r="I414" s="19">
        <f t="shared" si="115"/>
        <v>262.38150000000002</v>
      </c>
      <c r="J414" s="17">
        <v>0.14299999999999999</v>
      </c>
      <c r="K414" s="12">
        <f t="shared" si="110"/>
        <v>3.7709099999999998</v>
      </c>
      <c r="L414" s="97" t="s">
        <v>658</v>
      </c>
      <c r="M414" s="98">
        <v>49.5</v>
      </c>
      <c r="N414" s="19">
        <f t="shared" si="111"/>
        <v>41.183999999999997</v>
      </c>
      <c r="O414" s="19">
        <f t="shared" ref="O414:O416" si="135">J414*N414</f>
        <v>5.8893119999999994</v>
      </c>
      <c r="P414" s="19">
        <f t="shared" si="116"/>
        <v>155.30115744</v>
      </c>
      <c r="Q414" s="19">
        <f t="shared" si="113"/>
        <v>417.68265744000001</v>
      </c>
      <c r="R414" s="52"/>
    </row>
    <row r="415" spans="2:18" ht="96.6" x14ac:dyDescent="0.25">
      <c r="B415" s="51">
        <f>IF(F415&lt;&gt;"",1+MAX($B$22:B414),"")</f>
        <v>228</v>
      </c>
      <c r="C415" s="132"/>
      <c r="D415" s="10" t="s">
        <v>305</v>
      </c>
      <c r="E415" s="25" t="s">
        <v>82</v>
      </c>
      <c r="F415" s="41">
        <v>47.59</v>
      </c>
      <c r="G415" s="94"/>
      <c r="H415" s="19">
        <v>6</v>
      </c>
      <c r="I415" s="19">
        <f t="shared" si="115"/>
        <v>285.54000000000002</v>
      </c>
      <c r="J415" s="17">
        <v>0.14299999999999999</v>
      </c>
      <c r="K415" s="12">
        <f t="shared" si="110"/>
        <v>6.8053699999999999</v>
      </c>
      <c r="L415" s="97" t="s">
        <v>658</v>
      </c>
      <c r="M415" s="98">
        <v>49.5</v>
      </c>
      <c r="N415" s="19">
        <f t="shared" si="111"/>
        <v>41.183999999999997</v>
      </c>
      <c r="O415" s="19">
        <f t="shared" si="135"/>
        <v>5.8893119999999994</v>
      </c>
      <c r="P415" s="19">
        <f t="shared" si="116"/>
        <v>280.27235808</v>
      </c>
      <c r="Q415" s="19">
        <f t="shared" si="113"/>
        <v>565.81235807999997</v>
      </c>
      <c r="R415" s="52"/>
    </row>
    <row r="416" spans="2:18" ht="96.6" x14ac:dyDescent="0.25">
      <c r="B416" s="51">
        <f>IF(F416&lt;&gt;"",1+MAX($B$22:B415),"")</f>
        <v>229</v>
      </c>
      <c r="C416" s="132"/>
      <c r="D416" s="10" t="s">
        <v>306</v>
      </c>
      <c r="E416" s="25" t="s">
        <v>82</v>
      </c>
      <c r="F416" s="41">
        <v>61.83</v>
      </c>
      <c r="G416" s="94"/>
      <c r="H416" s="19">
        <v>3.2</v>
      </c>
      <c r="I416" s="19">
        <f t="shared" si="115"/>
        <v>197.85599999999999</v>
      </c>
      <c r="J416" s="17">
        <v>0.14299999999999999</v>
      </c>
      <c r="K416" s="12">
        <f t="shared" si="110"/>
        <v>8.8416899999999998</v>
      </c>
      <c r="L416" s="97" t="s">
        <v>658</v>
      </c>
      <c r="M416" s="98">
        <v>49.5</v>
      </c>
      <c r="N416" s="19">
        <f t="shared" si="111"/>
        <v>41.183999999999997</v>
      </c>
      <c r="O416" s="19">
        <f t="shared" si="135"/>
        <v>5.8893119999999994</v>
      </c>
      <c r="P416" s="19">
        <f t="shared" si="116"/>
        <v>364.13616095999993</v>
      </c>
      <c r="Q416" s="19">
        <f t="shared" si="113"/>
        <v>561.99216095999986</v>
      </c>
      <c r="R416" s="52"/>
    </row>
    <row r="417" spans="2:18" x14ac:dyDescent="0.25">
      <c r="B417" s="51" t="str">
        <f>IF(F417&lt;&gt;"",1+MAX($B$22:B416),"")</f>
        <v/>
      </c>
      <c r="C417" s="55"/>
      <c r="D417" s="10"/>
      <c r="E417" s="25"/>
      <c r="F417" s="41"/>
      <c r="G417" s="19"/>
      <c r="H417" s="19">
        <f t="shared" si="109"/>
        <v>0</v>
      </c>
      <c r="I417" s="19">
        <f t="shared" si="115"/>
        <v>0</v>
      </c>
      <c r="J417" s="17"/>
      <c r="K417" s="12">
        <f t="shared" si="110"/>
        <v>0</v>
      </c>
      <c r="L417" s="12"/>
      <c r="M417" s="19"/>
      <c r="N417" s="19">
        <f t="shared" si="111"/>
        <v>0</v>
      </c>
      <c r="O417" s="19">
        <f t="shared" si="112"/>
        <v>0</v>
      </c>
      <c r="P417" s="19">
        <f t="shared" si="116"/>
        <v>0</v>
      </c>
      <c r="Q417" s="19">
        <f t="shared" si="113"/>
        <v>0</v>
      </c>
      <c r="R417" s="52"/>
    </row>
    <row r="418" spans="2:18" x14ac:dyDescent="0.25">
      <c r="B418" s="70" t="str">
        <f>IF(F418&lt;&gt;"",1+MAX($B$22:B417),"")</f>
        <v/>
      </c>
      <c r="C418" s="71"/>
      <c r="D418" s="72" t="s">
        <v>307</v>
      </c>
      <c r="E418" s="25"/>
      <c r="F418" s="41"/>
      <c r="G418" s="19"/>
      <c r="H418" s="19">
        <f t="shared" si="109"/>
        <v>0</v>
      </c>
      <c r="I418" s="19">
        <f t="shared" si="115"/>
        <v>0</v>
      </c>
      <c r="J418" s="17"/>
      <c r="K418" s="12">
        <f t="shared" si="110"/>
        <v>0</v>
      </c>
      <c r="L418" s="12"/>
      <c r="M418" s="19"/>
      <c r="N418" s="19">
        <f t="shared" si="111"/>
        <v>0</v>
      </c>
      <c r="O418" s="19">
        <f t="shared" si="112"/>
        <v>0</v>
      </c>
      <c r="P418" s="19">
        <f t="shared" si="116"/>
        <v>0</v>
      </c>
      <c r="Q418" s="19">
        <f t="shared" si="113"/>
        <v>0</v>
      </c>
      <c r="R418" s="52"/>
    </row>
    <row r="419" spans="2:18" ht="82.8" x14ac:dyDescent="0.25">
      <c r="B419" s="51">
        <f>IF(F419&lt;&gt;"",1+MAX($B$22:B418),"")</f>
        <v>230</v>
      </c>
      <c r="C419" s="132" t="s">
        <v>219</v>
      </c>
      <c r="D419" s="10" t="s">
        <v>308</v>
      </c>
      <c r="E419" s="25" t="s">
        <v>82</v>
      </c>
      <c r="F419" s="41">
        <f>60+52</f>
        <v>112</v>
      </c>
      <c r="G419" s="19">
        <v>0.95</v>
      </c>
      <c r="H419" s="19">
        <f t="shared" si="109"/>
        <v>0.96709999999999996</v>
      </c>
      <c r="I419" s="19">
        <f t="shared" si="115"/>
        <v>108.31519999999999</v>
      </c>
      <c r="J419" s="17">
        <v>0.02</v>
      </c>
      <c r="K419" s="12">
        <f t="shared" si="110"/>
        <v>2.2400000000000002</v>
      </c>
      <c r="L419" s="12" t="s">
        <v>660</v>
      </c>
      <c r="M419" s="19">
        <v>44.15</v>
      </c>
      <c r="N419" s="19">
        <f t="shared" si="111"/>
        <v>36.732799999999997</v>
      </c>
      <c r="O419" s="19">
        <f t="shared" si="112"/>
        <v>0.73465599999999998</v>
      </c>
      <c r="P419" s="19">
        <f t="shared" si="116"/>
        <v>82.281471999999994</v>
      </c>
      <c r="Q419" s="19">
        <f t="shared" si="113"/>
        <v>190.59667199999998</v>
      </c>
      <c r="R419" s="52"/>
    </row>
    <row r="420" spans="2:18" ht="82.8" x14ac:dyDescent="0.25">
      <c r="B420" s="51">
        <f>IF(F420&lt;&gt;"",1+MAX($B$22:B419),"")</f>
        <v>231</v>
      </c>
      <c r="C420" s="132"/>
      <c r="D420" s="10" t="s">
        <v>309</v>
      </c>
      <c r="E420" s="25" t="s">
        <v>82</v>
      </c>
      <c r="F420" s="41">
        <v>52.1</v>
      </c>
      <c r="G420" s="19">
        <v>0.95</v>
      </c>
      <c r="H420" s="19">
        <f t="shared" si="109"/>
        <v>0.96709999999999996</v>
      </c>
      <c r="I420" s="19">
        <f t="shared" ref="I420:I428" si="136">F420*H420</f>
        <v>50.385910000000003</v>
      </c>
      <c r="J420" s="17">
        <v>0.02</v>
      </c>
      <c r="K420" s="12">
        <f t="shared" ref="K420:K428" si="137">F420*J420</f>
        <v>1.042</v>
      </c>
      <c r="L420" s="12" t="s">
        <v>660</v>
      </c>
      <c r="M420" s="19">
        <v>44.15</v>
      </c>
      <c r="N420" s="19">
        <f t="shared" si="111"/>
        <v>36.732799999999997</v>
      </c>
      <c r="O420" s="19">
        <f t="shared" ref="O420:O428" si="138">J420*N420</f>
        <v>0.73465599999999998</v>
      </c>
      <c r="P420" s="19">
        <f t="shared" si="116"/>
        <v>38.275577599999998</v>
      </c>
      <c r="Q420" s="19">
        <f t="shared" si="113"/>
        <v>88.661487600000001</v>
      </c>
      <c r="R420" s="52"/>
    </row>
    <row r="421" spans="2:18" ht="82.8" x14ac:dyDescent="0.25">
      <c r="B421" s="51">
        <f>IF(F421&lt;&gt;"",1+MAX($B$22:B420),"")</f>
        <v>232</v>
      </c>
      <c r="C421" s="132"/>
      <c r="D421" s="10" t="s">
        <v>310</v>
      </c>
      <c r="E421" s="25" t="s">
        <v>82</v>
      </c>
      <c r="F421" s="41">
        <v>26.78</v>
      </c>
      <c r="G421" s="19">
        <v>0.95</v>
      </c>
      <c r="H421" s="19">
        <f t="shared" si="109"/>
        <v>0.96709999999999996</v>
      </c>
      <c r="I421" s="19">
        <f t="shared" si="136"/>
        <v>25.898938000000001</v>
      </c>
      <c r="J421" s="17">
        <v>0.02</v>
      </c>
      <c r="K421" s="12">
        <f t="shared" si="137"/>
        <v>0.53560000000000008</v>
      </c>
      <c r="L421" s="12" t="s">
        <v>660</v>
      </c>
      <c r="M421" s="19">
        <v>44.15</v>
      </c>
      <c r="N421" s="19">
        <f t="shared" si="111"/>
        <v>36.732799999999997</v>
      </c>
      <c r="O421" s="19">
        <f t="shared" si="138"/>
        <v>0.73465599999999998</v>
      </c>
      <c r="P421" s="19">
        <f t="shared" si="116"/>
        <v>19.67408768</v>
      </c>
      <c r="Q421" s="19">
        <f t="shared" si="113"/>
        <v>45.573025680000001</v>
      </c>
      <c r="R421" s="52"/>
    </row>
    <row r="422" spans="2:18" ht="82.8" x14ac:dyDescent="0.25">
      <c r="B422" s="51">
        <f>IF(F422&lt;&gt;"",1+MAX($B$22:B421),"")</f>
        <v>233</v>
      </c>
      <c r="C422" s="132"/>
      <c r="D422" s="10" t="s">
        <v>311</v>
      </c>
      <c r="E422" s="25" t="s">
        <v>82</v>
      </c>
      <c r="F422" s="41">
        <v>75.88</v>
      </c>
      <c r="G422" s="19">
        <v>0.95</v>
      </c>
      <c r="H422" s="19">
        <f t="shared" si="109"/>
        <v>0.96709999999999996</v>
      </c>
      <c r="I422" s="19">
        <f t="shared" si="136"/>
        <v>73.38354799999999</v>
      </c>
      <c r="J422" s="17">
        <v>0.02</v>
      </c>
      <c r="K422" s="12">
        <f t="shared" si="137"/>
        <v>1.5175999999999998</v>
      </c>
      <c r="L422" s="12" t="s">
        <v>660</v>
      </c>
      <c r="M422" s="19">
        <v>44.15</v>
      </c>
      <c r="N422" s="19">
        <f t="shared" si="111"/>
        <v>36.732799999999997</v>
      </c>
      <c r="O422" s="19">
        <f t="shared" si="138"/>
        <v>0.73465599999999998</v>
      </c>
      <c r="P422" s="19">
        <f t="shared" si="116"/>
        <v>55.745697279999995</v>
      </c>
      <c r="Q422" s="19">
        <f t="shared" si="113"/>
        <v>129.12924527999999</v>
      </c>
      <c r="R422" s="52"/>
    </row>
    <row r="423" spans="2:18" ht="82.8" x14ac:dyDescent="0.25">
      <c r="B423" s="51">
        <f>IF(F423&lt;&gt;"",1+MAX($B$22:B422),"")</f>
        <v>234</v>
      </c>
      <c r="C423" s="132"/>
      <c r="D423" s="10" t="s">
        <v>312</v>
      </c>
      <c r="E423" s="25" t="s">
        <v>82</v>
      </c>
      <c r="F423" s="41">
        <v>20.5</v>
      </c>
      <c r="G423" s="19">
        <v>0.95</v>
      </c>
      <c r="H423" s="19">
        <f t="shared" si="109"/>
        <v>0.96709999999999996</v>
      </c>
      <c r="I423" s="19">
        <f t="shared" si="136"/>
        <v>19.82555</v>
      </c>
      <c r="J423" s="17">
        <v>0.02</v>
      </c>
      <c r="K423" s="12">
        <f t="shared" si="137"/>
        <v>0.41000000000000003</v>
      </c>
      <c r="L423" s="12" t="s">
        <v>660</v>
      </c>
      <c r="M423" s="19">
        <v>44.15</v>
      </c>
      <c r="N423" s="19">
        <f t="shared" si="111"/>
        <v>36.732799999999997</v>
      </c>
      <c r="O423" s="19">
        <f t="shared" si="138"/>
        <v>0.73465599999999998</v>
      </c>
      <c r="P423" s="19">
        <f t="shared" si="116"/>
        <v>15.060447999999999</v>
      </c>
      <c r="Q423" s="19">
        <f t="shared" si="113"/>
        <v>34.885998000000001</v>
      </c>
      <c r="R423" s="52"/>
    </row>
    <row r="424" spans="2:18" ht="96.6" x14ac:dyDescent="0.25">
      <c r="B424" s="51">
        <f>IF(F424&lt;&gt;"",1+MAX($B$22:B423),"")</f>
        <v>235</v>
      </c>
      <c r="C424" s="132"/>
      <c r="D424" s="10" t="s">
        <v>313</v>
      </c>
      <c r="E424" s="25" t="s">
        <v>82</v>
      </c>
      <c r="F424" s="41">
        <f>23.29+89.24+35.08</f>
        <v>147.61000000000001</v>
      </c>
      <c r="G424" s="19">
        <v>0.95</v>
      </c>
      <c r="H424" s="19">
        <f t="shared" si="109"/>
        <v>0.96709999999999996</v>
      </c>
      <c r="I424" s="19">
        <f t="shared" si="136"/>
        <v>142.75363100000001</v>
      </c>
      <c r="J424" s="17">
        <v>0.02</v>
      </c>
      <c r="K424" s="12">
        <f t="shared" si="137"/>
        <v>2.9522000000000004</v>
      </c>
      <c r="L424" s="12" t="s">
        <v>660</v>
      </c>
      <c r="M424" s="19">
        <v>44.15</v>
      </c>
      <c r="N424" s="19">
        <f t="shared" si="111"/>
        <v>36.732799999999997</v>
      </c>
      <c r="O424" s="19">
        <f t="shared" si="138"/>
        <v>0.73465599999999998</v>
      </c>
      <c r="P424" s="19">
        <f t="shared" si="116"/>
        <v>108.44257216000001</v>
      </c>
      <c r="Q424" s="19">
        <f t="shared" si="113"/>
        <v>251.19620316000004</v>
      </c>
      <c r="R424" s="52"/>
    </row>
    <row r="425" spans="2:18" ht="82.8" x14ac:dyDescent="0.25">
      <c r="B425" s="51">
        <f>IF(F425&lt;&gt;"",1+MAX($B$22:B424),"")</f>
        <v>236</v>
      </c>
      <c r="C425" s="132"/>
      <c r="D425" s="10" t="s">
        <v>314</v>
      </c>
      <c r="E425" s="25" t="s">
        <v>82</v>
      </c>
      <c r="F425" s="41">
        <v>26.37</v>
      </c>
      <c r="G425" s="19">
        <v>0.95</v>
      </c>
      <c r="H425" s="19">
        <f t="shared" si="109"/>
        <v>0.96709999999999996</v>
      </c>
      <c r="I425" s="19">
        <f t="shared" si="136"/>
        <v>25.502427000000001</v>
      </c>
      <c r="J425" s="17">
        <v>0.02</v>
      </c>
      <c r="K425" s="12">
        <f t="shared" si="137"/>
        <v>0.52739999999999998</v>
      </c>
      <c r="L425" s="12" t="s">
        <v>660</v>
      </c>
      <c r="M425" s="19">
        <v>44.15</v>
      </c>
      <c r="N425" s="19">
        <f t="shared" si="111"/>
        <v>36.732799999999997</v>
      </c>
      <c r="O425" s="19">
        <f t="shared" si="138"/>
        <v>0.73465599999999998</v>
      </c>
      <c r="P425" s="19">
        <f t="shared" si="116"/>
        <v>19.372878719999999</v>
      </c>
      <c r="Q425" s="19">
        <f t="shared" si="113"/>
        <v>44.87530572</v>
      </c>
      <c r="R425" s="52"/>
    </row>
    <row r="426" spans="2:18" ht="82.8" x14ac:dyDescent="0.25">
      <c r="B426" s="51">
        <f>IF(F426&lt;&gt;"",1+MAX($B$22:B425),"")</f>
        <v>237</v>
      </c>
      <c r="C426" s="132"/>
      <c r="D426" s="10" t="s">
        <v>315</v>
      </c>
      <c r="E426" s="25" t="s">
        <v>82</v>
      </c>
      <c r="F426" s="41">
        <v>62.3</v>
      </c>
      <c r="G426" s="19">
        <v>0.95</v>
      </c>
      <c r="H426" s="19">
        <f t="shared" si="109"/>
        <v>0.96709999999999996</v>
      </c>
      <c r="I426" s="19">
        <f t="shared" si="136"/>
        <v>60.250329999999998</v>
      </c>
      <c r="J426" s="17">
        <v>0.02</v>
      </c>
      <c r="K426" s="12">
        <f t="shared" si="137"/>
        <v>1.246</v>
      </c>
      <c r="L426" s="12" t="s">
        <v>660</v>
      </c>
      <c r="M426" s="19">
        <v>44.15</v>
      </c>
      <c r="N426" s="19">
        <f t="shared" si="111"/>
        <v>36.732799999999997</v>
      </c>
      <c r="O426" s="19">
        <f t="shared" si="138"/>
        <v>0.73465599999999998</v>
      </c>
      <c r="P426" s="19">
        <f t="shared" si="116"/>
        <v>45.769068799999999</v>
      </c>
      <c r="Q426" s="19">
        <f t="shared" si="113"/>
        <v>106.0193988</v>
      </c>
      <c r="R426" s="52"/>
    </row>
    <row r="427" spans="2:18" ht="82.8" x14ac:dyDescent="0.25">
      <c r="B427" s="51">
        <f>IF(F427&lt;&gt;"",1+MAX($B$22:B426),"")</f>
        <v>238</v>
      </c>
      <c r="C427" s="132"/>
      <c r="D427" s="10" t="s">
        <v>316</v>
      </c>
      <c r="E427" s="25" t="s">
        <v>82</v>
      </c>
      <c r="F427" s="41">
        <v>82.6</v>
      </c>
      <c r="G427" s="19">
        <v>0.95</v>
      </c>
      <c r="H427" s="19">
        <f t="shared" si="109"/>
        <v>0.96709999999999996</v>
      </c>
      <c r="I427" s="19">
        <f t="shared" si="136"/>
        <v>79.882459999999995</v>
      </c>
      <c r="J427" s="17">
        <v>0.02</v>
      </c>
      <c r="K427" s="12">
        <f t="shared" si="137"/>
        <v>1.6519999999999999</v>
      </c>
      <c r="L427" s="12" t="s">
        <v>660</v>
      </c>
      <c r="M427" s="19">
        <v>44.15</v>
      </c>
      <c r="N427" s="19">
        <f t="shared" si="111"/>
        <v>36.732799999999997</v>
      </c>
      <c r="O427" s="19">
        <f t="shared" si="138"/>
        <v>0.73465599999999998</v>
      </c>
      <c r="P427" s="19">
        <f t="shared" si="116"/>
        <v>60.682585599999996</v>
      </c>
      <c r="Q427" s="19">
        <f t="shared" si="113"/>
        <v>140.56504559999999</v>
      </c>
      <c r="R427" s="52"/>
    </row>
    <row r="428" spans="2:18" ht="82.8" x14ac:dyDescent="0.25">
      <c r="B428" s="51">
        <f>IF(F428&lt;&gt;"",1+MAX($B$22:B427),"")</f>
        <v>239</v>
      </c>
      <c r="C428" s="132"/>
      <c r="D428" s="10" t="s">
        <v>317</v>
      </c>
      <c r="E428" s="25" t="s">
        <v>82</v>
      </c>
      <c r="F428" s="41">
        <v>61.83</v>
      </c>
      <c r="G428" s="19">
        <v>0.95</v>
      </c>
      <c r="H428" s="19">
        <f t="shared" si="109"/>
        <v>0.96709999999999996</v>
      </c>
      <c r="I428" s="19">
        <f t="shared" si="136"/>
        <v>59.795792999999996</v>
      </c>
      <c r="J428" s="17">
        <v>0.02</v>
      </c>
      <c r="K428" s="12">
        <f t="shared" si="137"/>
        <v>1.2365999999999999</v>
      </c>
      <c r="L428" s="12" t="s">
        <v>660</v>
      </c>
      <c r="M428" s="19">
        <v>44.15</v>
      </c>
      <c r="N428" s="19">
        <f t="shared" si="111"/>
        <v>36.732799999999997</v>
      </c>
      <c r="O428" s="19">
        <f t="shared" si="138"/>
        <v>0.73465599999999998</v>
      </c>
      <c r="P428" s="19">
        <f t="shared" si="116"/>
        <v>45.423780479999998</v>
      </c>
      <c r="Q428" s="19">
        <f t="shared" si="113"/>
        <v>105.21957347999999</v>
      </c>
      <c r="R428" s="52"/>
    </row>
    <row r="429" spans="2:18" x14ac:dyDescent="0.25">
      <c r="B429" s="51" t="str">
        <f>IF(F429&lt;&gt;"",1+MAX($B$22:B428),"")</f>
        <v/>
      </c>
      <c r="C429" s="55"/>
      <c r="D429" s="10"/>
      <c r="E429" s="25"/>
      <c r="F429" s="41"/>
      <c r="G429" s="19"/>
      <c r="H429" s="19">
        <f t="shared" si="109"/>
        <v>0</v>
      </c>
      <c r="I429" s="19">
        <f t="shared" si="115"/>
        <v>0</v>
      </c>
      <c r="J429" s="17"/>
      <c r="K429" s="12">
        <f t="shared" si="110"/>
        <v>0</v>
      </c>
      <c r="L429" s="12"/>
      <c r="M429" s="19"/>
      <c r="N429" s="19">
        <f t="shared" si="111"/>
        <v>0</v>
      </c>
      <c r="O429" s="19">
        <f t="shared" si="112"/>
        <v>0</v>
      </c>
      <c r="P429" s="19">
        <f t="shared" si="116"/>
        <v>0</v>
      </c>
      <c r="Q429" s="19">
        <f t="shared" si="113"/>
        <v>0</v>
      </c>
      <c r="R429" s="52"/>
    </row>
    <row r="430" spans="2:18" x14ac:dyDescent="0.25">
      <c r="B430" s="70" t="str">
        <f>IF(F430&lt;&gt;"",1+MAX($B$22:B429),"")</f>
        <v/>
      </c>
      <c r="C430" s="71"/>
      <c r="D430" s="72" t="s">
        <v>318</v>
      </c>
      <c r="E430" s="25"/>
      <c r="F430" s="41"/>
      <c r="G430" s="19"/>
      <c r="H430" s="19">
        <f t="shared" si="109"/>
        <v>0</v>
      </c>
      <c r="I430" s="19">
        <f t="shared" si="115"/>
        <v>0</v>
      </c>
      <c r="J430" s="17"/>
      <c r="K430" s="12">
        <f t="shared" si="110"/>
        <v>0</v>
      </c>
      <c r="L430" s="12"/>
      <c r="M430" s="19"/>
      <c r="N430" s="19">
        <f t="shared" si="111"/>
        <v>0</v>
      </c>
      <c r="O430" s="19">
        <f t="shared" si="112"/>
        <v>0</v>
      </c>
      <c r="P430" s="19">
        <f t="shared" si="116"/>
        <v>0</v>
      </c>
      <c r="Q430" s="19">
        <f t="shared" si="113"/>
        <v>0</v>
      </c>
      <c r="R430" s="52"/>
    </row>
    <row r="431" spans="2:18" x14ac:dyDescent="0.25">
      <c r="B431" s="51" t="str">
        <f>IF(F431&lt;&gt;"",1+MAX($B$22:B430),"")</f>
        <v/>
      </c>
      <c r="C431" s="55"/>
      <c r="D431" s="53"/>
      <c r="E431" s="25"/>
      <c r="F431" s="41"/>
      <c r="G431" s="19"/>
      <c r="H431" s="19">
        <f t="shared" si="109"/>
        <v>0</v>
      </c>
      <c r="I431" s="19">
        <f t="shared" si="115"/>
        <v>0</v>
      </c>
      <c r="J431" s="17"/>
      <c r="K431" s="12">
        <f t="shared" si="110"/>
        <v>0</v>
      </c>
      <c r="L431" s="12"/>
      <c r="M431" s="19"/>
      <c r="N431" s="19">
        <f t="shared" si="111"/>
        <v>0</v>
      </c>
      <c r="O431" s="19">
        <f t="shared" si="112"/>
        <v>0</v>
      </c>
      <c r="P431" s="19">
        <f t="shared" si="116"/>
        <v>0</v>
      </c>
      <c r="Q431" s="19">
        <f t="shared" si="113"/>
        <v>0</v>
      </c>
      <c r="R431" s="52"/>
    </row>
    <row r="432" spans="2:18" x14ac:dyDescent="0.25">
      <c r="B432" s="51" t="str">
        <f>IF(F432&lt;&gt;"",1+MAX($B$22:B431),"")</f>
        <v/>
      </c>
      <c r="C432" s="55"/>
      <c r="D432" s="53" t="s">
        <v>319</v>
      </c>
      <c r="E432" s="25"/>
      <c r="F432" s="41"/>
      <c r="G432" s="19"/>
      <c r="H432" s="19">
        <f t="shared" si="109"/>
        <v>0</v>
      </c>
      <c r="I432" s="19">
        <f t="shared" si="115"/>
        <v>0</v>
      </c>
      <c r="J432" s="17"/>
      <c r="K432" s="12">
        <f t="shared" si="110"/>
        <v>0</v>
      </c>
      <c r="L432" s="12"/>
      <c r="M432" s="19"/>
      <c r="N432" s="19">
        <f t="shared" si="111"/>
        <v>0</v>
      </c>
      <c r="O432" s="19">
        <f t="shared" si="112"/>
        <v>0</v>
      </c>
      <c r="P432" s="19">
        <f t="shared" si="116"/>
        <v>0</v>
      </c>
      <c r="Q432" s="19">
        <f t="shared" si="113"/>
        <v>0</v>
      </c>
      <c r="R432" s="52"/>
    </row>
    <row r="433" spans="2:18" x14ac:dyDescent="0.25">
      <c r="B433" s="51">
        <f>IF(F433&lt;&gt;"",1+MAX($B$22:B432),"")</f>
        <v>240</v>
      </c>
      <c r="C433" s="132" t="s">
        <v>219</v>
      </c>
      <c r="D433" s="10" t="s">
        <v>614</v>
      </c>
      <c r="E433" s="25" t="s">
        <v>82</v>
      </c>
      <c r="F433" s="41">
        <f>479-140-30</f>
        <v>309</v>
      </c>
      <c r="G433" s="19">
        <v>0.74</v>
      </c>
      <c r="H433" s="19">
        <f t="shared" ref="H433" si="139">G433*$T$2</f>
        <v>0.75331999999999999</v>
      </c>
      <c r="I433" s="19">
        <f t="shared" si="115"/>
        <v>232.77588</v>
      </c>
      <c r="J433" s="17">
        <v>3.6999999999999998E-2</v>
      </c>
      <c r="K433" s="12">
        <f t="shared" ref="K433" si="140">F433*J433</f>
        <v>11.433</v>
      </c>
      <c r="L433" s="97" t="s">
        <v>632</v>
      </c>
      <c r="M433" s="98">
        <v>53.15</v>
      </c>
      <c r="N433" s="19">
        <f t="shared" ref="N433:N472" si="141">M433*$U$2</f>
        <v>44.220799999999997</v>
      </c>
      <c r="O433" s="19">
        <f t="shared" ref="O433:O472" si="142">J433*N433</f>
        <v>1.6361695999999999</v>
      </c>
      <c r="P433" s="19">
        <f t="shared" si="116"/>
        <v>505.57640639999994</v>
      </c>
      <c r="Q433" s="19">
        <f t="shared" ref="Q433:Q472" si="143">I433+P433</f>
        <v>738.35228639999991</v>
      </c>
      <c r="R433" s="52"/>
    </row>
    <row r="434" spans="2:18" x14ac:dyDescent="0.25">
      <c r="B434" s="51">
        <f>IF(F434&lt;&gt;"",1+MAX($B$22:B433),"")</f>
        <v>241</v>
      </c>
      <c r="C434" s="132"/>
      <c r="D434" s="74" t="s">
        <v>320</v>
      </c>
      <c r="E434" s="25" t="s">
        <v>90</v>
      </c>
      <c r="F434" s="41">
        <f>F433/32</f>
        <v>9.65625</v>
      </c>
      <c r="G434" s="94"/>
      <c r="H434" s="94">
        <f t="shared" ref="H434:H472" si="144">G434*$T$2</f>
        <v>0</v>
      </c>
      <c r="I434" s="94">
        <f t="shared" si="115"/>
        <v>0</v>
      </c>
      <c r="J434" s="95"/>
      <c r="K434" s="96">
        <f t="shared" ref="K434:K472" si="145">F434*J434</f>
        <v>0</v>
      </c>
      <c r="L434" s="96"/>
      <c r="M434" s="94"/>
      <c r="N434" s="94">
        <f t="shared" si="141"/>
        <v>0</v>
      </c>
      <c r="O434" s="94">
        <f t="shared" si="142"/>
        <v>0</v>
      </c>
      <c r="P434" s="94">
        <f t="shared" si="116"/>
        <v>0</v>
      </c>
      <c r="Q434" s="94">
        <f t="shared" si="143"/>
        <v>0</v>
      </c>
      <c r="R434" s="52"/>
    </row>
    <row r="435" spans="2:18" x14ac:dyDescent="0.25">
      <c r="B435" s="51">
        <f>IF(F435&lt;&gt;"",1+MAX($B$22:B434),"")</f>
        <v>242</v>
      </c>
      <c r="C435" s="132"/>
      <c r="D435" s="74" t="s">
        <v>321</v>
      </c>
      <c r="E435" s="25" t="s">
        <v>322</v>
      </c>
      <c r="F435" s="41">
        <f>F433*0.031</f>
        <v>9.5790000000000006</v>
      </c>
      <c r="G435" s="94"/>
      <c r="H435" s="94">
        <f t="shared" si="144"/>
        <v>0</v>
      </c>
      <c r="I435" s="94">
        <f t="shared" si="115"/>
        <v>0</v>
      </c>
      <c r="J435" s="95"/>
      <c r="K435" s="96">
        <f t="shared" si="145"/>
        <v>0</v>
      </c>
      <c r="L435" s="96"/>
      <c r="M435" s="94"/>
      <c r="N435" s="94">
        <f t="shared" si="141"/>
        <v>0</v>
      </c>
      <c r="O435" s="94">
        <f t="shared" si="142"/>
        <v>0</v>
      </c>
      <c r="P435" s="94">
        <f t="shared" si="116"/>
        <v>0</v>
      </c>
      <c r="Q435" s="94">
        <f t="shared" si="143"/>
        <v>0</v>
      </c>
      <c r="R435" s="52"/>
    </row>
    <row r="436" spans="2:18" x14ac:dyDescent="0.25">
      <c r="B436" s="51">
        <f>IF(F436&lt;&gt;"",1+MAX($B$22:B435),"")</f>
        <v>243</v>
      </c>
      <c r="C436" s="132"/>
      <c r="D436" s="74" t="s">
        <v>323</v>
      </c>
      <c r="E436" s="25" t="s">
        <v>324</v>
      </c>
      <c r="F436" s="41">
        <f>F434*12/500</f>
        <v>0.23175000000000001</v>
      </c>
      <c r="G436" s="94"/>
      <c r="H436" s="94">
        <f t="shared" si="144"/>
        <v>0</v>
      </c>
      <c r="I436" s="94">
        <f t="shared" si="115"/>
        <v>0</v>
      </c>
      <c r="J436" s="95"/>
      <c r="K436" s="96">
        <f t="shared" si="145"/>
        <v>0</v>
      </c>
      <c r="L436" s="96"/>
      <c r="M436" s="94"/>
      <c r="N436" s="94">
        <f t="shared" si="141"/>
        <v>0</v>
      </c>
      <c r="O436" s="94">
        <f t="shared" si="142"/>
        <v>0</v>
      </c>
      <c r="P436" s="94">
        <f t="shared" si="116"/>
        <v>0</v>
      </c>
      <c r="Q436" s="94">
        <f t="shared" si="143"/>
        <v>0</v>
      </c>
      <c r="R436" s="52"/>
    </row>
    <row r="437" spans="2:18" x14ac:dyDescent="0.25">
      <c r="B437" s="51">
        <f>IF(F437&lt;&gt;"",1+MAX($B$22:B436),"")</f>
        <v>244</v>
      </c>
      <c r="C437" s="132"/>
      <c r="D437" s="74" t="s">
        <v>325</v>
      </c>
      <c r="E437" s="25" t="s">
        <v>94</v>
      </c>
      <c r="F437" s="41">
        <f>F434*48/280</f>
        <v>1.6553571428571427</v>
      </c>
      <c r="G437" s="94"/>
      <c r="H437" s="94">
        <f t="shared" si="144"/>
        <v>0</v>
      </c>
      <c r="I437" s="94">
        <f t="shared" si="115"/>
        <v>0</v>
      </c>
      <c r="J437" s="95"/>
      <c r="K437" s="96">
        <f t="shared" si="145"/>
        <v>0</v>
      </c>
      <c r="L437" s="96"/>
      <c r="M437" s="94"/>
      <c r="N437" s="94">
        <f t="shared" si="141"/>
        <v>0</v>
      </c>
      <c r="O437" s="94">
        <f t="shared" si="142"/>
        <v>0</v>
      </c>
      <c r="P437" s="94">
        <f t="shared" si="116"/>
        <v>0</v>
      </c>
      <c r="Q437" s="94">
        <f t="shared" si="143"/>
        <v>0</v>
      </c>
      <c r="R437" s="52"/>
    </row>
    <row r="438" spans="2:18" x14ac:dyDescent="0.25">
      <c r="B438" s="51">
        <f>IF(F438&lt;&gt;"",1+MAX($B$22:B437),"")</f>
        <v>245</v>
      </c>
      <c r="C438" s="132"/>
      <c r="D438" s="74" t="s">
        <v>326</v>
      </c>
      <c r="E438" s="25" t="s">
        <v>94</v>
      </c>
      <c r="F438" s="41">
        <f>F433*0.53</f>
        <v>163.77000000000001</v>
      </c>
      <c r="G438" s="94"/>
      <c r="H438" s="94">
        <f t="shared" si="144"/>
        <v>0</v>
      </c>
      <c r="I438" s="94">
        <f t="shared" si="115"/>
        <v>0</v>
      </c>
      <c r="J438" s="95"/>
      <c r="K438" s="96">
        <f t="shared" si="145"/>
        <v>0</v>
      </c>
      <c r="L438" s="96"/>
      <c r="M438" s="94"/>
      <c r="N438" s="94">
        <f t="shared" si="141"/>
        <v>0</v>
      </c>
      <c r="O438" s="94">
        <f t="shared" si="142"/>
        <v>0</v>
      </c>
      <c r="P438" s="94">
        <f t="shared" si="116"/>
        <v>0</v>
      </c>
      <c r="Q438" s="94">
        <f t="shared" si="143"/>
        <v>0</v>
      </c>
      <c r="R438" s="52"/>
    </row>
    <row r="439" spans="2:18" x14ac:dyDescent="0.25">
      <c r="B439" s="51" t="str">
        <f>IF(F439&lt;&gt;"",1+MAX($B$22:B438),"")</f>
        <v/>
      </c>
      <c r="C439" s="132"/>
      <c r="D439" s="10"/>
      <c r="E439" s="25"/>
      <c r="F439" s="41"/>
      <c r="G439" s="19"/>
      <c r="H439" s="19">
        <f t="shared" si="144"/>
        <v>0</v>
      </c>
      <c r="I439" s="19">
        <f t="shared" ref="I439:I472" si="146">F439*H439</f>
        <v>0</v>
      </c>
      <c r="J439" s="17"/>
      <c r="K439" s="12">
        <f t="shared" si="145"/>
        <v>0</v>
      </c>
      <c r="L439" s="12"/>
      <c r="M439" s="19"/>
      <c r="N439" s="19">
        <f t="shared" si="141"/>
        <v>0</v>
      </c>
      <c r="O439" s="19">
        <f t="shared" si="142"/>
        <v>0</v>
      </c>
      <c r="P439" s="19">
        <f t="shared" ref="P439:P472" si="147">F439*O439</f>
        <v>0</v>
      </c>
      <c r="Q439" s="19">
        <f t="shared" si="143"/>
        <v>0</v>
      </c>
      <c r="R439" s="52"/>
    </row>
    <row r="440" spans="2:18" x14ac:dyDescent="0.25">
      <c r="B440" s="51">
        <f>IF(F440&lt;&gt;"",1+MAX($B$22:B439),"")</f>
        <v>246</v>
      </c>
      <c r="C440" s="132"/>
      <c r="D440" s="10" t="s">
        <v>327</v>
      </c>
      <c r="E440" s="25" t="s">
        <v>82</v>
      </c>
      <c r="F440" s="41">
        <f>3061-273-347+140+30</f>
        <v>2611</v>
      </c>
      <c r="G440" s="19">
        <v>0.6</v>
      </c>
      <c r="H440" s="19">
        <f t="shared" si="144"/>
        <v>0.61080000000000001</v>
      </c>
      <c r="I440" s="19">
        <f t="shared" si="146"/>
        <v>1594.7988</v>
      </c>
      <c r="J440" s="17">
        <v>3.6999999999999998E-2</v>
      </c>
      <c r="K440" s="12">
        <f t="shared" si="145"/>
        <v>96.606999999999999</v>
      </c>
      <c r="L440" s="97" t="s">
        <v>632</v>
      </c>
      <c r="M440" s="98">
        <v>53.15</v>
      </c>
      <c r="N440" s="19">
        <f t="shared" si="141"/>
        <v>44.220799999999997</v>
      </c>
      <c r="O440" s="19">
        <f t="shared" si="142"/>
        <v>1.6361695999999999</v>
      </c>
      <c r="P440" s="19">
        <f t="shared" si="147"/>
        <v>4272.0388255999997</v>
      </c>
      <c r="Q440" s="19">
        <f t="shared" si="143"/>
        <v>5866.8376255999992</v>
      </c>
      <c r="R440" s="52"/>
    </row>
    <row r="441" spans="2:18" x14ac:dyDescent="0.25">
      <c r="B441" s="51">
        <f>IF(F441&lt;&gt;"",1+MAX($B$22:B440),"")</f>
        <v>247</v>
      </c>
      <c r="C441" s="132"/>
      <c r="D441" s="74" t="s">
        <v>320</v>
      </c>
      <c r="E441" s="25" t="s">
        <v>90</v>
      </c>
      <c r="F441" s="41">
        <f>F440/32</f>
        <v>81.59375</v>
      </c>
      <c r="G441" s="94"/>
      <c r="H441" s="94">
        <f t="shared" si="144"/>
        <v>0</v>
      </c>
      <c r="I441" s="94">
        <f t="shared" si="146"/>
        <v>0</v>
      </c>
      <c r="J441" s="95"/>
      <c r="K441" s="96">
        <f t="shared" ref="K441:K445" si="148">F441*J441</f>
        <v>0</v>
      </c>
      <c r="L441" s="96"/>
      <c r="M441" s="94"/>
      <c r="N441" s="94">
        <f t="shared" si="141"/>
        <v>0</v>
      </c>
      <c r="O441" s="94">
        <f t="shared" ref="O441:O445" si="149">J441*N441</f>
        <v>0</v>
      </c>
      <c r="P441" s="94">
        <f t="shared" si="147"/>
        <v>0</v>
      </c>
      <c r="Q441" s="94">
        <f t="shared" ref="Q441:Q445" si="150">I441+P441</f>
        <v>0</v>
      </c>
      <c r="R441" s="52"/>
    </row>
    <row r="442" spans="2:18" x14ac:dyDescent="0.25">
      <c r="B442" s="51">
        <f>IF(F442&lt;&gt;"",1+MAX($B$22:B441),"")</f>
        <v>248</v>
      </c>
      <c r="C442" s="132"/>
      <c r="D442" s="74" t="s">
        <v>321</v>
      </c>
      <c r="E442" s="25" t="s">
        <v>322</v>
      </c>
      <c r="F442" s="41">
        <f>F440*0.031</f>
        <v>80.941000000000003</v>
      </c>
      <c r="G442" s="94"/>
      <c r="H442" s="94">
        <f t="shared" si="144"/>
        <v>0</v>
      </c>
      <c r="I442" s="94">
        <f t="shared" si="146"/>
        <v>0</v>
      </c>
      <c r="J442" s="95"/>
      <c r="K442" s="96">
        <f t="shared" si="148"/>
        <v>0</v>
      </c>
      <c r="L442" s="96"/>
      <c r="M442" s="94"/>
      <c r="N442" s="94">
        <f t="shared" si="141"/>
        <v>0</v>
      </c>
      <c r="O442" s="94">
        <f t="shared" si="149"/>
        <v>0</v>
      </c>
      <c r="P442" s="94">
        <f t="shared" si="147"/>
        <v>0</v>
      </c>
      <c r="Q442" s="94">
        <f t="shared" si="150"/>
        <v>0</v>
      </c>
      <c r="R442" s="52"/>
    </row>
    <row r="443" spans="2:18" x14ac:dyDescent="0.25">
      <c r="B443" s="51">
        <f>IF(F443&lt;&gt;"",1+MAX($B$22:B442),"")</f>
        <v>249</v>
      </c>
      <c r="C443" s="132"/>
      <c r="D443" s="74" t="s">
        <v>323</v>
      </c>
      <c r="E443" s="25" t="s">
        <v>324</v>
      </c>
      <c r="F443" s="41">
        <f>F441*12/500</f>
        <v>1.95825</v>
      </c>
      <c r="G443" s="94"/>
      <c r="H443" s="94">
        <f t="shared" si="144"/>
        <v>0</v>
      </c>
      <c r="I443" s="94">
        <f t="shared" si="146"/>
        <v>0</v>
      </c>
      <c r="J443" s="95"/>
      <c r="K443" s="96">
        <f t="shared" si="148"/>
        <v>0</v>
      </c>
      <c r="L443" s="96"/>
      <c r="M443" s="94"/>
      <c r="N443" s="94">
        <f t="shared" si="141"/>
        <v>0</v>
      </c>
      <c r="O443" s="94">
        <f t="shared" si="149"/>
        <v>0</v>
      </c>
      <c r="P443" s="94">
        <f t="shared" si="147"/>
        <v>0</v>
      </c>
      <c r="Q443" s="94">
        <f t="shared" si="150"/>
        <v>0</v>
      </c>
      <c r="R443" s="52"/>
    </row>
    <row r="444" spans="2:18" x14ac:dyDescent="0.25">
      <c r="B444" s="51">
        <f>IF(F444&lt;&gt;"",1+MAX($B$22:B443),"")</f>
        <v>250</v>
      </c>
      <c r="C444" s="132"/>
      <c r="D444" s="74" t="s">
        <v>325</v>
      </c>
      <c r="E444" s="25" t="s">
        <v>94</v>
      </c>
      <c r="F444" s="41">
        <f>F441*48/280</f>
        <v>13.987500000000001</v>
      </c>
      <c r="G444" s="94"/>
      <c r="H444" s="94">
        <f t="shared" si="144"/>
        <v>0</v>
      </c>
      <c r="I444" s="94">
        <f t="shared" si="146"/>
        <v>0</v>
      </c>
      <c r="J444" s="95"/>
      <c r="K444" s="96">
        <f t="shared" si="148"/>
        <v>0</v>
      </c>
      <c r="L444" s="96"/>
      <c r="M444" s="94"/>
      <c r="N444" s="94">
        <f t="shared" si="141"/>
        <v>0</v>
      </c>
      <c r="O444" s="94">
        <f t="shared" si="149"/>
        <v>0</v>
      </c>
      <c r="P444" s="94">
        <f t="shared" si="147"/>
        <v>0</v>
      </c>
      <c r="Q444" s="94">
        <f t="shared" si="150"/>
        <v>0</v>
      </c>
      <c r="R444" s="52"/>
    </row>
    <row r="445" spans="2:18" x14ac:dyDescent="0.25">
      <c r="B445" s="51">
        <f>IF(F445&lt;&gt;"",1+MAX($B$22:B444),"")</f>
        <v>251</v>
      </c>
      <c r="C445" s="132"/>
      <c r="D445" s="74" t="s">
        <v>326</v>
      </c>
      <c r="E445" s="25" t="s">
        <v>94</v>
      </c>
      <c r="F445" s="41">
        <f>F440*0.53</f>
        <v>1383.8300000000002</v>
      </c>
      <c r="G445" s="94"/>
      <c r="H445" s="94">
        <f t="shared" si="144"/>
        <v>0</v>
      </c>
      <c r="I445" s="94">
        <f t="shared" si="146"/>
        <v>0</v>
      </c>
      <c r="J445" s="95"/>
      <c r="K445" s="96">
        <f t="shared" si="148"/>
        <v>0</v>
      </c>
      <c r="L445" s="96"/>
      <c r="M445" s="94"/>
      <c r="N445" s="94">
        <f t="shared" si="141"/>
        <v>0</v>
      </c>
      <c r="O445" s="94">
        <f t="shared" si="149"/>
        <v>0</v>
      </c>
      <c r="P445" s="94">
        <f t="shared" si="147"/>
        <v>0</v>
      </c>
      <c r="Q445" s="94">
        <f t="shared" si="150"/>
        <v>0</v>
      </c>
      <c r="R445" s="52"/>
    </row>
    <row r="446" spans="2:18" x14ac:dyDescent="0.25">
      <c r="B446" s="51" t="str">
        <f>IF(F446&lt;&gt;"",1+MAX($B$22:B445),"")</f>
        <v/>
      </c>
      <c r="C446" s="132"/>
      <c r="D446" s="10"/>
      <c r="E446" s="25"/>
      <c r="F446" s="41"/>
      <c r="G446" s="19"/>
      <c r="H446" s="19">
        <f t="shared" si="144"/>
        <v>0</v>
      </c>
      <c r="I446" s="19">
        <f t="shared" si="146"/>
        <v>0</v>
      </c>
      <c r="J446" s="17"/>
      <c r="K446" s="12">
        <f t="shared" si="145"/>
        <v>0</v>
      </c>
      <c r="L446" s="12"/>
      <c r="M446" s="19"/>
      <c r="N446" s="19">
        <f t="shared" si="141"/>
        <v>0</v>
      </c>
      <c r="O446" s="19">
        <f t="shared" si="142"/>
        <v>0</v>
      </c>
      <c r="P446" s="19">
        <f t="shared" si="147"/>
        <v>0</v>
      </c>
      <c r="Q446" s="19">
        <f t="shared" si="143"/>
        <v>0</v>
      </c>
      <c r="R446" s="52"/>
    </row>
    <row r="447" spans="2:18" x14ac:dyDescent="0.25">
      <c r="B447" s="51">
        <f>IF(F447&lt;&gt;"",1+MAX($B$22:B446),"")</f>
        <v>252</v>
      </c>
      <c r="C447" s="132"/>
      <c r="D447" s="10" t="s">
        <v>612</v>
      </c>
      <c r="E447" s="25" t="s">
        <v>82</v>
      </c>
      <c r="F447" s="41">
        <v>347</v>
      </c>
      <c r="G447" s="19">
        <v>0.68</v>
      </c>
      <c r="H447" s="19">
        <f t="shared" si="144"/>
        <v>0.69224000000000008</v>
      </c>
      <c r="I447" s="19">
        <f t="shared" si="146"/>
        <v>240.20728000000003</v>
      </c>
      <c r="J447" s="17">
        <v>3.6999999999999998E-2</v>
      </c>
      <c r="K447" s="12">
        <f t="shared" si="145"/>
        <v>12.838999999999999</v>
      </c>
      <c r="L447" s="97" t="s">
        <v>632</v>
      </c>
      <c r="M447" s="98">
        <v>53.15</v>
      </c>
      <c r="N447" s="19">
        <f t="shared" si="141"/>
        <v>44.220799999999997</v>
      </c>
      <c r="O447" s="19">
        <f t="shared" si="142"/>
        <v>1.6361695999999999</v>
      </c>
      <c r="P447" s="19">
        <f t="shared" si="147"/>
        <v>567.75085119999994</v>
      </c>
      <c r="Q447" s="19">
        <f t="shared" si="143"/>
        <v>807.95813120000003</v>
      </c>
      <c r="R447" s="52"/>
    </row>
    <row r="448" spans="2:18" x14ac:dyDescent="0.25">
      <c r="B448" s="51">
        <f>IF(F448&lt;&gt;"",1+MAX($B$22:B447),"")</f>
        <v>253</v>
      </c>
      <c r="C448" s="132"/>
      <c r="D448" s="74" t="s">
        <v>320</v>
      </c>
      <c r="E448" s="25" t="s">
        <v>90</v>
      </c>
      <c r="F448" s="41">
        <f>F447/32</f>
        <v>10.84375</v>
      </c>
      <c r="G448" s="94"/>
      <c r="H448" s="94">
        <f t="shared" si="144"/>
        <v>0</v>
      </c>
      <c r="I448" s="94">
        <f t="shared" si="146"/>
        <v>0</v>
      </c>
      <c r="J448" s="95"/>
      <c r="K448" s="96">
        <f t="shared" ref="K448:K452" si="151">F448*J448</f>
        <v>0</v>
      </c>
      <c r="L448" s="96"/>
      <c r="M448" s="94"/>
      <c r="N448" s="94">
        <f t="shared" si="141"/>
        <v>0</v>
      </c>
      <c r="O448" s="94">
        <f t="shared" ref="O448:O452" si="152">J448*N448</f>
        <v>0</v>
      </c>
      <c r="P448" s="94">
        <f t="shared" si="147"/>
        <v>0</v>
      </c>
      <c r="Q448" s="94">
        <f t="shared" ref="Q448:Q452" si="153">I448+P448</f>
        <v>0</v>
      </c>
      <c r="R448" s="52"/>
    </row>
    <row r="449" spans="2:18" x14ac:dyDescent="0.25">
      <c r="B449" s="51">
        <f>IF(F449&lt;&gt;"",1+MAX($B$22:B448),"")</f>
        <v>254</v>
      </c>
      <c r="C449" s="132"/>
      <c r="D449" s="74" t="s">
        <v>321</v>
      </c>
      <c r="E449" s="25" t="s">
        <v>322</v>
      </c>
      <c r="F449" s="41">
        <f>F447*0.031</f>
        <v>10.757</v>
      </c>
      <c r="G449" s="94"/>
      <c r="H449" s="94">
        <f t="shared" si="144"/>
        <v>0</v>
      </c>
      <c r="I449" s="94">
        <f t="shared" si="146"/>
        <v>0</v>
      </c>
      <c r="J449" s="95"/>
      <c r="K449" s="96">
        <f t="shared" si="151"/>
        <v>0</v>
      </c>
      <c r="L449" s="96"/>
      <c r="M449" s="94"/>
      <c r="N449" s="94">
        <f t="shared" si="141"/>
        <v>0</v>
      </c>
      <c r="O449" s="94">
        <f t="shared" si="152"/>
        <v>0</v>
      </c>
      <c r="P449" s="94">
        <f t="shared" si="147"/>
        <v>0</v>
      </c>
      <c r="Q449" s="94">
        <f t="shared" si="153"/>
        <v>0</v>
      </c>
      <c r="R449" s="52"/>
    </row>
    <row r="450" spans="2:18" x14ac:dyDescent="0.25">
      <c r="B450" s="51">
        <f>IF(F450&lt;&gt;"",1+MAX($B$22:B449),"")</f>
        <v>255</v>
      </c>
      <c r="C450" s="132"/>
      <c r="D450" s="74" t="s">
        <v>323</v>
      </c>
      <c r="E450" s="25" t="s">
        <v>324</v>
      </c>
      <c r="F450" s="41">
        <f>F448*12/500</f>
        <v>0.26024999999999998</v>
      </c>
      <c r="G450" s="94"/>
      <c r="H450" s="94">
        <f t="shared" si="144"/>
        <v>0</v>
      </c>
      <c r="I450" s="94">
        <f t="shared" si="146"/>
        <v>0</v>
      </c>
      <c r="J450" s="95"/>
      <c r="K450" s="96">
        <f t="shared" si="151"/>
        <v>0</v>
      </c>
      <c r="L450" s="96"/>
      <c r="M450" s="94"/>
      <c r="N450" s="94">
        <f t="shared" si="141"/>
        <v>0</v>
      </c>
      <c r="O450" s="94">
        <f t="shared" si="152"/>
        <v>0</v>
      </c>
      <c r="P450" s="94">
        <f t="shared" si="147"/>
        <v>0</v>
      </c>
      <c r="Q450" s="94">
        <f t="shared" si="153"/>
        <v>0</v>
      </c>
      <c r="R450" s="52"/>
    </row>
    <row r="451" spans="2:18" x14ac:dyDescent="0.25">
      <c r="B451" s="51">
        <f>IF(F451&lt;&gt;"",1+MAX($B$22:B450),"")</f>
        <v>256</v>
      </c>
      <c r="C451" s="132"/>
      <c r="D451" s="74" t="s">
        <v>325</v>
      </c>
      <c r="E451" s="25" t="s">
        <v>94</v>
      </c>
      <c r="F451" s="41">
        <f>F448*48/280</f>
        <v>1.8589285714285715</v>
      </c>
      <c r="G451" s="94"/>
      <c r="H451" s="94">
        <f t="shared" si="144"/>
        <v>0</v>
      </c>
      <c r="I451" s="94">
        <f t="shared" si="146"/>
        <v>0</v>
      </c>
      <c r="J451" s="95"/>
      <c r="K451" s="96">
        <f t="shared" si="151"/>
        <v>0</v>
      </c>
      <c r="L451" s="96"/>
      <c r="M451" s="94"/>
      <c r="N451" s="94">
        <f t="shared" si="141"/>
        <v>0</v>
      </c>
      <c r="O451" s="94">
        <f t="shared" si="152"/>
        <v>0</v>
      </c>
      <c r="P451" s="94">
        <f t="shared" si="147"/>
        <v>0</v>
      </c>
      <c r="Q451" s="94">
        <f t="shared" si="153"/>
        <v>0</v>
      </c>
      <c r="R451" s="52"/>
    </row>
    <row r="452" spans="2:18" x14ac:dyDescent="0.25">
      <c r="B452" s="51">
        <f>IF(F452&lt;&gt;"",1+MAX($B$22:B451),"")</f>
        <v>257</v>
      </c>
      <c r="C452" s="132"/>
      <c r="D452" s="74" t="s">
        <v>326</v>
      </c>
      <c r="E452" s="25" t="s">
        <v>94</v>
      </c>
      <c r="F452" s="41">
        <f>F447*0.53</f>
        <v>183.91</v>
      </c>
      <c r="G452" s="94"/>
      <c r="H452" s="94">
        <f t="shared" si="144"/>
        <v>0</v>
      </c>
      <c r="I452" s="94">
        <f t="shared" si="146"/>
        <v>0</v>
      </c>
      <c r="J452" s="95"/>
      <c r="K452" s="96">
        <f t="shared" si="151"/>
        <v>0</v>
      </c>
      <c r="L452" s="96"/>
      <c r="M452" s="94"/>
      <c r="N452" s="94">
        <f t="shared" si="141"/>
        <v>0</v>
      </c>
      <c r="O452" s="94">
        <f t="shared" si="152"/>
        <v>0</v>
      </c>
      <c r="P452" s="94">
        <f t="shared" si="147"/>
        <v>0</v>
      </c>
      <c r="Q452" s="94">
        <f t="shared" si="153"/>
        <v>0</v>
      </c>
      <c r="R452" s="52"/>
    </row>
    <row r="453" spans="2:18" x14ac:dyDescent="0.25">
      <c r="B453" s="51" t="str">
        <f>IF(F453&lt;&gt;"",1+MAX($B$22:B452),"")</f>
        <v/>
      </c>
      <c r="C453" s="132"/>
      <c r="D453" s="10"/>
      <c r="E453" s="25"/>
      <c r="F453" s="41"/>
      <c r="G453" s="19"/>
      <c r="H453" s="19">
        <f t="shared" si="144"/>
        <v>0</v>
      </c>
      <c r="I453" s="19">
        <f t="shared" si="146"/>
        <v>0</v>
      </c>
      <c r="J453" s="17"/>
      <c r="K453" s="12">
        <f t="shared" si="145"/>
        <v>0</v>
      </c>
      <c r="L453" s="12"/>
      <c r="M453" s="19"/>
      <c r="N453" s="19">
        <f t="shared" si="141"/>
        <v>0</v>
      </c>
      <c r="O453" s="19">
        <f t="shared" si="142"/>
        <v>0</v>
      </c>
      <c r="P453" s="19">
        <f t="shared" si="147"/>
        <v>0</v>
      </c>
      <c r="Q453" s="19">
        <f t="shared" si="143"/>
        <v>0</v>
      </c>
      <c r="R453" s="52"/>
    </row>
    <row r="454" spans="2:18" x14ac:dyDescent="0.25">
      <c r="B454" s="51">
        <f>IF(F454&lt;&gt;"",1+MAX($B$22:B453),"")</f>
        <v>258</v>
      </c>
      <c r="C454" s="132"/>
      <c r="D454" s="10" t="s">
        <v>613</v>
      </c>
      <c r="E454" s="25" t="s">
        <v>82</v>
      </c>
      <c r="F454" s="41">
        <v>273</v>
      </c>
      <c r="G454" s="19">
        <v>0.68</v>
      </c>
      <c r="H454" s="19">
        <f t="shared" si="144"/>
        <v>0.69224000000000008</v>
      </c>
      <c r="I454" s="19">
        <f t="shared" si="146"/>
        <v>188.98152000000002</v>
      </c>
      <c r="J454" s="17">
        <v>3.6999999999999998E-2</v>
      </c>
      <c r="K454" s="12">
        <f t="shared" si="145"/>
        <v>10.100999999999999</v>
      </c>
      <c r="L454" s="97" t="s">
        <v>632</v>
      </c>
      <c r="M454" s="98">
        <v>53.15</v>
      </c>
      <c r="N454" s="19">
        <f t="shared" si="141"/>
        <v>44.220799999999997</v>
      </c>
      <c r="O454" s="19">
        <f t="shared" si="142"/>
        <v>1.6361695999999999</v>
      </c>
      <c r="P454" s="19">
        <f t="shared" si="147"/>
        <v>446.67430079999997</v>
      </c>
      <c r="Q454" s="19">
        <f t="shared" si="143"/>
        <v>635.65582080000001</v>
      </c>
      <c r="R454" s="52"/>
    </row>
    <row r="455" spans="2:18" x14ac:dyDescent="0.25">
      <c r="B455" s="51">
        <f>IF(F455&lt;&gt;"",1+MAX($B$22:B454),"")</f>
        <v>259</v>
      </c>
      <c r="C455" s="132"/>
      <c r="D455" s="74" t="s">
        <v>320</v>
      </c>
      <c r="E455" s="25" t="s">
        <v>90</v>
      </c>
      <c r="F455" s="41">
        <f>F454/32</f>
        <v>8.53125</v>
      </c>
      <c r="G455" s="94"/>
      <c r="H455" s="94">
        <f t="shared" si="144"/>
        <v>0</v>
      </c>
      <c r="I455" s="94">
        <f t="shared" si="146"/>
        <v>0</v>
      </c>
      <c r="J455" s="95"/>
      <c r="K455" s="96">
        <f t="shared" ref="K455:K459" si="154">F455*J455</f>
        <v>0</v>
      </c>
      <c r="L455" s="96"/>
      <c r="M455" s="94"/>
      <c r="N455" s="94">
        <f t="shared" si="141"/>
        <v>0</v>
      </c>
      <c r="O455" s="94">
        <f t="shared" ref="O455:O459" si="155">J455*N455</f>
        <v>0</v>
      </c>
      <c r="P455" s="94">
        <f t="shared" si="147"/>
        <v>0</v>
      </c>
      <c r="Q455" s="94">
        <f t="shared" ref="Q455:Q459" si="156">I455+P455</f>
        <v>0</v>
      </c>
      <c r="R455" s="52"/>
    </row>
    <row r="456" spans="2:18" x14ac:dyDescent="0.25">
      <c r="B456" s="51">
        <f>IF(F456&lt;&gt;"",1+MAX($B$22:B455),"")</f>
        <v>260</v>
      </c>
      <c r="C456" s="132"/>
      <c r="D456" s="74" t="s">
        <v>321</v>
      </c>
      <c r="E456" s="25" t="s">
        <v>322</v>
      </c>
      <c r="F456" s="41">
        <f>F454*0.031</f>
        <v>8.4629999999999992</v>
      </c>
      <c r="G456" s="94"/>
      <c r="H456" s="94">
        <f t="shared" si="144"/>
        <v>0</v>
      </c>
      <c r="I456" s="94">
        <f t="shared" si="146"/>
        <v>0</v>
      </c>
      <c r="J456" s="95"/>
      <c r="K456" s="96">
        <f t="shared" si="154"/>
        <v>0</v>
      </c>
      <c r="L456" s="96"/>
      <c r="M456" s="94"/>
      <c r="N456" s="94">
        <f t="shared" si="141"/>
        <v>0</v>
      </c>
      <c r="O456" s="94">
        <f t="shared" si="155"/>
        <v>0</v>
      </c>
      <c r="P456" s="94">
        <f t="shared" si="147"/>
        <v>0</v>
      </c>
      <c r="Q456" s="94">
        <f t="shared" si="156"/>
        <v>0</v>
      </c>
      <c r="R456" s="52"/>
    </row>
    <row r="457" spans="2:18" x14ac:dyDescent="0.25">
      <c r="B457" s="51">
        <f>IF(F457&lt;&gt;"",1+MAX($B$22:B456),"")</f>
        <v>261</v>
      </c>
      <c r="C457" s="132"/>
      <c r="D457" s="74" t="s">
        <v>323</v>
      </c>
      <c r="E457" s="25" t="s">
        <v>324</v>
      </c>
      <c r="F457" s="41">
        <f>F455*12/500</f>
        <v>0.20474999999999999</v>
      </c>
      <c r="G457" s="94"/>
      <c r="H457" s="94">
        <f t="shared" si="144"/>
        <v>0</v>
      </c>
      <c r="I457" s="94">
        <f t="shared" si="146"/>
        <v>0</v>
      </c>
      <c r="J457" s="95"/>
      <c r="K457" s="96">
        <f t="shared" si="154"/>
        <v>0</v>
      </c>
      <c r="L457" s="96"/>
      <c r="M457" s="94"/>
      <c r="N457" s="94">
        <f t="shared" si="141"/>
        <v>0</v>
      </c>
      <c r="O457" s="94">
        <f t="shared" si="155"/>
        <v>0</v>
      </c>
      <c r="P457" s="94">
        <f t="shared" si="147"/>
        <v>0</v>
      </c>
      <c r="Q457" s="94">
        <f t="shared" si="156"/>
        <v>0</v>
      </c>
      <c r="R457" s="52"/>
    </row>
    <row r="458" spans="2:18" x14ac:dyDescent="0.25">
      <c r="B458" s="51">
        <f>IF(F458&lt;&gt;"",1+MAX($B$22:B457),"")</f>
        <v>262</v>
      </c>
      <c r="C458" s="132"/>
      <c r="D458" s="74" t="s">
        <v>325</v>
      </c>
      <c r="E458" s="25" t="s">
        <v>94</v>
      </c>
      <c r="F458" s="41">
        <f>F455*48/280</f>
        <v>1.4624999999999999</v>
      </c>
      <c r="G458" s="94"/>
      <c r="H458" s="94">
        <f t="shared" si="144"/>
        <v>0</v>
      </c>
      <c r="I458" s="94">
        <f t="shared" si="146"/>
        <v>0</v>
      </c>
      <c r="J458" s="95"/>
      <c r="K458" s="96">
        <f t="shared" si="154"/>
        <v>0</v>
      </c>
      <c r="L458" s="96"/>
      <c r="M458" s="94"/>
      <c r="N458" s="94">
        <f t="shared" si="141"/>
        <v>0</v>
      </c>
      <c r="O458" s="94">
        <f t="shared" si="155"/>
        <v>0</v>
      </c>
      <c r="P458" s="94">
        <f t="shared" si="147"/>
        <v>0</v>
      </c>
      <c r="Q458" s="94">
        <f t="shared" si="156"/>
        <v>0</v>
      </c>
      <c r="R458" s="52"/>
    </row>
    <row r="459" spans="2:18" x14ac:dyDescent="0.25">
      <c r="B459" s="51">
        <f>IF(F459&lt;&gt;"",1+MAX($B$22:B458),"")</f>
        <v>263</v>
      </c>
      <c r="C459" s="132"/>
      <c r="D459" s="74" t="s">
        <v>326</v>
      </c>
      <c r="E459" s="25" t="s">
        <v>94</v>
      </c>
      <c r="F459" s="41">
        <f>F454*0.53</f>
        <v>144.69</v>
      </c>
      <c r="G459" s="94"/>
      <c r="H459" s="94">
        <f t="shared" si="144"/>
        <v>0</v>
      </c>
      <c r="I459" s="94">
        <f t="shared" si="146"/>
        <v>0</v>
      </c>
      <c r="J459" s="95"/>
      <c r="K459" s="96">
        <f t="shared" si="154"/>
        <v>0</v>
      </c>
      <c r="L459" s="96"/>
      <c r="M459" s="94"/>
      <c r="N459" s="94">
        <f t="shared" si="141"/>
        <v>0</v>
      </c>
      <c r="O459" s="94">
        <f t="shared" si="155"/>
        <v>0</v>
      </c>
      <c r="P459" s="94">
        <f t="shared" si="147"/>
        <v>0</v>
      </c>
      <c r="Q459" s="94">
        <f t="shared" si="156"/>
        <v>0</v>
      </c>
      <c r="R459" s="52"/>
    </row>
    <row r="460" spans="2:18" x14ac:dyDescent="0.25">
      <c r="B460" s="51" t="str">
        <f>IF(F460&lt;&gt;"",1+MAX($B$22:B459),"")</f>
        <v/>
      </c>
      <c r="C460" s="55"/>
      <c r="D460" s="10"/>
      <c r="E460" s="25"/>
      <c r="F460" s="41"/>
      <c r="G460" s="19"/>
      <c r="H460" s="19">
        <f t="shared" si="144"/>
        <v>0</v>
      </c>
      <c r="I460" s="19">
        <f t="shared" si="146"/>
        <v>0</v>
      </c>
      <c r="J460" s="17"/>
      <c r="K460" s="12">
        <f t="shared" si="145"/>
        <v>0</v>
      </c>
      <c r="L460" s="12"/>
      <c r="M460" s="19"/>
      <c r="N460" s="19">
        <f t="shared" si="141"/>
        <v>0</v>
      </c>
      <c r="O460" s="19">
        <f t="shared" si="142"/>
        <v>0</v>
      </c>
      <c r="P460" s="19">
        <f t="shared" si="147"/>
        <v>0</v>
      </c>
      <c r="Q460" s="19">
        <f t="shared" si="143"/>
        <v>0</v>
      </c>
      <c r="R460" s="52"/>
    </row>
    <row r="461" spans="2:18" x14ac:dyDescent="0.25">
      <c r="B461" s="51" t="str">
        <f>IF(F461&lt;&gt;"",1+MAX($B$22:B460),"")</f>
        <v/>
      </c>
      <c r="C461" s="55"/>
      <c r="D461" s="53" t="s">
        <v>328</v>
      </c>
      <c r="E461" s="25"/>
      <c r="F461" s="41"/>
      <c r="G461" s="19"/>
      <c r="H461" s="19">
        <f t="shared" si="144"/>
        <v>0</v>
      </c>
      <c r="I461" s="19">
        <f t="shared" si="146"/>
        <v>0</v>
      </c>
      <c r="J461" s="17"/>
      <c r="K461" s="12">
        <f t="shared" si="145"/>
        <v>0</v>
      </c>
      <c r="L461" s="12"/>
      <c r="M461" s="19"/>
      <c r="N461" s="19">
        <f t="shared" si="141"/>
        <v>0</v>
      </c>
      <c r="O461" s="19">
        <f t="shared" si="142"/>
        <v>0</v>
      </c>
      <c r="P461" s="19">
        <f t="shared" si="147"/>
        <v>0</v>
      </c>
      <c r="Q461" s="19">
        <f t="shared" si="143"/>
        <v>0</v>
      </c>
      <c r="R461" s="52"/>
    </row>
    <row r="462" spans="2:18" ht="124.2" x14ac:dyDescent="0.25">
      <c r="B462" s="51">
        <f>IF(F462&lt;&gt;"",1+MAX($B$22:B461),"")</f>
        <v>264</v>
      </c>
      <c r="C462" s="132" t="s">
        <v>219</v>
      </c>
      <c r="D462" s="10" t="s">
        <v>329</v>
      </c>
      <c r="E462" s="25" t="s">
        <v>82</v>
      </c>
      <c r="F462" s="41">
        <v>241.28</v>
      </c>
      <c r="G462" s="94"/>
      <c r="H462" s="19">
        <v>3</v>
      </c>
      <c r="I462" s="19">
        <f t="shared" si="146"/>
        <v>723.84</v>
      </c>
      <c r="J462" s="17">
        <v>0.04</v>
      </c>
      <c r="K462" s="12">
        <f t="shared" si="145"/>
        <v>9.6512000000000011</v>
      </c>
      <c r="L462" s="97" t="s">
        <v>629</v>
      </c>
      <c r="M462" s="98">
        <v>53.15</v>
      </c>
      <c r="N462" s="19">
        <f t="shared" si="141"/>
        <v>44.220799999999997</v>
      </c>
      <c r="O462" s="19">
        <f t="shared" si="142"/>
        <v>1.768832</v>
      </c>
      <c r="P462" s="19">
        <f t="shared" si="147"/>
        <v>426.78378495999999</v>
      </c>
      <c r="Q462" s="19">
        <f t="shared" si="143"/>
        <v>1150.62378496</v>
      </c>
      <c r="R462" s="52"/>
    </row>
    <row r="463" spans="2:18" ht="82.8" x14ac:dyDescent="0.25">
      <c r="B463" s="51">
        <f>IF(F463&lt;&gt;"",1+MAX($B$22:B462),"")</f>
        <v>265</v>
      </c>
      <c r="C463" s="132"/>
      <c r="D463" s="10" t="s">
        <v>330</v>
      </c>
      <c r="E463" s="25" t="s">
        <v>82</v>
      </c>
      <c r="F463" s="41">
        <v>4026.45</v>
      </c>
      <c r="G463" s="19">
        <v>4.67</v>
      </c>
      <c r="H463" s="19">
        <f t="shared" ref="H463" si="157">G463*$T$2</f>
        <v>4.75406</v>
      </c>
      <c r="I463" s="19">
        <f t="shared" si="146"/>
        <v>19141.984886999999</v>
      </c>
      <c r="J463" s="17">
        <v>3.6999999999999998E-2</v>
      </c>
      <c r="K463" s="12">
        <f t="shared" si="145"/>
        <v>148.97864999999999</v>
      </c>
      <c r="L463" s="97" t="s">
        <v>629</v>
      </c>
      <c r="M463" s="98">
        <v>53.15</v>
      </c>
      <c r="N463" s="19">
        <f t="shared" si="141"/>
        <v>44.220799999999997</v>
      </c>
      <c r="O463" s="19">
        <f t="shared" si="142"/>
        <v>1.6361695999999999</v>
      </c>
      <c r="P463" s="19">
        <f t="shared" si="147"/>
        <v>6587.955085919999</v>
      </c>
      <c r="Q463" s="19">
        <f t="shared" si="143"/>
        <v>25729.939972919998</v>
      </c>
      <c r="R463" s="52"/>
    </row>
    <row r="464" spans="2:18" x14ac:dyDescent="0.25">
      <c r="B464" s="51" t="str">
        <f>IF(F464&lt;&gt;"",1+MAX($B$22:B463),"")</f>
        <v/>
      </c>
      <c r="C464" s="55"/>
      <c r="D464" s="74"/>
      <c r="E464" s="25"/>
      <c r="F464" s="41"/>
      <c r="G464" s="19"/>
      <c r="H464" s="19">
        <f t="shared" si="144"/>
        <v>0</v>
      </c>
      <c r="I464" s="19">
        <f t="shared" si="146"/>
        <v>0</v>
      </c>
      <c r="J464" s="17"/>
      <c r="K464" s="12">
        <f t="shared" si="145"/>
        <v>0</v>
      </c>
      <c r="L464" s="12"/>
      <c r="M464" s="19"/>
      <c r="N464" s="19">
        <f t="shared" si="141"/>
        <v>0</v>
      </c>
      <c r="O464" s="19">
        <f t="shared" si="142"/>
        <v>0</v>
      </c>
      <c r="P464" s="19">
        <f t="shared" si="147"/>
        <v>0</v>
      </c>
      <c r="Q464" s="19">
        <f t="shared" si="143"/>
        <v>0</v>
      </c>
      <c r="R464" s="52"/>
    </row>
    <row r="465" spans="2:19" x14ac:dyDescent="0.25">
      <c r="B465" s="70" t="str">
        <f>IF(F465&lt;&gt;"",1+MAX($B$22:B464),"")</f>
        <v/>
      </c>
      <c r="C465" s="71"/>
      <c r="D465" s="72" t="s">
        <v>331</v>
      </c>
      <c r="E465" s="25"/>
      <c r="F465" s="41"/>
      <c r="G465" s="19"/>
      <c r="H465" s="19">
        <f t="shared" si="144"/>
        <v>0</v>
      </c>
      <c r="I465" s="19">
        <f t="shared" si="146"/>
        <v>0</v>
      </c>
      <c r="J465" s="17"/>
      <c r="K465" s="12">
        <f t="shared" si="145"/>
        <v>0</v>
      </c>
      <c r="L465" s="12"/>
      <c r="M465" s="19"/>
      <c r="N465" s="19">
        <f t="shared" si="141"/>
        <v>0</v>
      </c>
      <c r="O465" s="19">
        <f t="shared" si="142"/>
        <v>0</v>
      </c>
      <c r="P465" s="19">
        <f t="shared" si="147"/>
        <v>0</v>
      </c>
      <c r="Q465" s="19">
        <f t="shared" si="143"/>
        <v>0</v>
      </c>
      <c r="R465" s="52"/>
    </row>
    <row r="466" spans="2:19" ht="82.8" x14ac:dyDescent="0.25">
      <c r="B466" s="51">
        <f>IF(F466&lt;&gt;"",1+MAX($B$22:B465),"")</f>
        <v>266</v>
      </c>
      <c r="C466" s="132" t="s">
        <v>219</v>
      </c>
      <c r="D466" s="10" t="s">
        <v>332</v>
      </c>
      <c r="E466" s="25" t="s">
        <v>82</v>
      </c>
      <c r="F466" s="41">
        <f>(220.17*9)+(220.72*8.16)+(248.14*8.25)+(554.63)+(19.4*7.5)+(19.53*7)+(8*16.63)+(5.27*4)</f>
        <v>6820.7201999999997</v>
      </c>
      <c r="G466" s="19">
        <v>0.26</v>
      </c>
      <c r="H466" s="19">
        <f t="shared" si="144"/>
        <v>0.26468000000000003</v>
      </c>
      <c r="I466" s="19">
        <f t="shared" si="146"/>
        <v>1805.3082225360001</v>
      </c>
      <c r="J466" s="17">
        <v>2.4E-2</v>
      </c>
      <c r="K466" s="12">
        <f t="shared" si="145"/>
        <v>163.69728480000001</v>
      </c>
      <c r="L466" s="97" t="s">
        <v>626</v>
      </c>
      <c r="M466" s="98">
        <v>44.4</v>
      </c>
      <c r="N466" s="19">
        <f t="shared" si="141"/>
        <v>36.940799999999996</v>
      </c>
      <c r="O466" s="19">
        <f t="shared" si="142"/>
        <v>0.8865791999999999</v>
      </c>
      <c r="P466" s="19">
        <f t="shared" si="147"/>
        <v>6047.1086583398392</v>
      </c>
      <c r="Q466" s="19">
        <f t="shared" si="143"/>
        <v>7852.4168808758395</v>
      </c>
      <c r="R466" s="52"/>
    </row>
    <row r="467" spans="2:19" ht="82.8" x14ac:dyDescent="0.25">
      <c r="B467" s="51">
        <f>IF(F467&lt;&gt;"",1+MAX($B$22:B466),"")</f>
        <v>267</v>
      </c>
      <c r="C467" s="132"/>
      <c r="D467" s="10" t="s">
        <v>333</v>
      </c>
      <c r="E467" s="25" t="s">
        <v>82</v>
      </c>
      <c r="F467" s="81">
        <f>(17.92*9)</f>
        <v>161.28000000000003</v>
      </c>
      <c r="G467" s="19">
        <v>0.26</v>
      </c>
      <c r="H467" s="19">
        <f t="shared" si="144"/>
        <v>0.26468000000000003</v>
      </c>
      <c r="I467" s="19">
        <f t="shared" ref="I467:I471" si="158">F467*H467</f>
        <v>42.687590400000012</v>
      </c>
      <c r="J467" s="17">
        <v>2.4E-2</v>
      </c>
      <c r="K467" s="12">
        <f t="shared" ref="K467:K471" si="159">F467*J467</f>
        <v>3.8707200000000008</v>
      </c>
      <c r="L467" s="97" t="s">
        <v>626</v>
      </c>
      <c r="M467" s="98">
        <v>44.4</v>
      </c>
      <c r="N467" s="19">
        <f t="shared" si="141"/>
        <v>36.940799999999996</v>
      </c>
      <c r="O467" s="19">
        <f t="shared" si="142"/>
        <v>0.8865791999999999</v>
      </c>
      <c r="P467" s="19">
        <f t="shared" si="147"/>
        <v>142.987493376</v>
      </c>
      <c r="Q467" s="19">
        <f t="shared" si="143"/>
        <v>185.67508377600001</v>
      </c>
      <c r="R467" s="52"/>
    </row>
    <row r="468" spans="2:19" ht="82.8" x14ac:dyDescent="0.25">
      <c r="B468" s="51">
        <f>IF(F468&lt;&gt;"",1+MAX($B$22:B467),"")</f>
        <v>268</v>
      </c>
      <c r="C468" s="132"/>
      <c r="D468" s="10" t="s">
        <v>334</v>
      </c>
      <c r="E468" s="25" t="s">
        <v>82</v>
      </c>
      <c r="F468" s="41">
        <f>(62*8.25)</f>
        <v>511.5</v>
      </c>
      <c r="G468" s="19">
        <v>0.26</v>
      </c>
      <c r="H468" s="19">
        <f t="shared" si="144"/>
        <v>0.26468000000000003</v>
      </c>
      <c r="I468" s="19">
        <f t="shared" si="158"/>
        <v>135.38382000000001</v>
      </c>
      <c r="J468" s="17">
        <v>2.4E-2</v>
      </c>
      <c r="K468" s="12">
        <f t="shared" si="159"/>
        <v>12.276</v>
      </c>
      <c r="L468" s="97" t="s">
        <v>626</v>
      </c>
      <c r="M468" s="98">
        <v>44.4</v>
      </c>
      <c r="N468" s="19">
        <f t="shared" si="141"/>
        <v>36.940799999999996</v>
      </c>
      <c r="O468" s="19">
        <f t="shared" si="142"/>
        <v>0.8865791999999999</v>
      </c>
      <c r="P468" s="19">
        <f t="shared" si="147"/>
        <v>453.48526079999993</v>
      </c>
      <c r="Q468" s="19">
        <f t="shared" si="143"/>
        <v>588.86908079999989</v>
      </c>
      <c r="R468" s="52"/>
    </row>
    <row r="469" spans="2:19" ht="82.8" x14ac:dyDescent="0.25">
      <c r="B469" s="51">
        <f>IF(F469&lt;&gt;"",1+MAX($B$22:B468),"")</f>
        <v>269</v>
      </c>
      <c r="C469" s="132"/>
      <c r="D469" s="10" t="s">
        <v>335</v>
      </c>
      <c r="E469" s="25" t="s">
        <v>82</v>
      </c>
      <c r="F469" s="41">
        <f>(55.66*8.25)</f>
        <v>459.19499999999999</v>
      </c>
      <c r="G469" s="19">
        <v>0.26</v>
      </c>
      <c r="H469" s="19">
        <f t="shared" si="144"/>
        <v>0.26468000000000003</v>
      </c>
      <c r="I469" s="19">
        <f t="shared" si="158"/>
        <v>121.53973260000001</v>
      </c>
      <c r="J469" s="17">
        <v>2.4E-2</v>
      </c>
      <c r="K469" s="12">
        <f t="shared" si="159"/>
        <v>11.02068</v>
      </c>
      <c r="L469" s="97" t="s">
        <v>626</v>
      </c>
      <c r="M469" s="98">
        <v>44.4</v>
      </c>
      <c r="N469" s="19">
        <f t="shared" si="141"/>
        <v>36.940799999999996</v>
      </c>
      <c r="O469" s="19">
        <f t="shared" si="142"/>
        <v>0.8865791999999999</v>
      </c>
      <c r="P469" s="19">
        <f t="shared" si="147"/>
        <v>407.11273574399996</v>
      </c>
      <c r="Q469" s="19">
        <f t="shared" si="143"/>
        <v>528.652468344</v>
      </c>
      <c r="R469" s="52"/>
    </row>
    <row r="470" spans="2:19" ht="82.8" x14ac:dyDescent="0.25">
      <c r="B470" s="51">
        <f>IF(F470&lt;&gt;"",1+MAX($B$22:B469),"")</f>
        <v>270</v>
      </c>
      <c r="C470" s="132"/>
      <c r="D470" s="10" t="s">
        <v>336</v>
      </c>
      <c r="E470" s="25" t="s">
        <v>82</v>
      </c>
      <c r="F470" s="41">
        <f>(45.34*10.58)</f>
        <v>479.69720000000007</v>
      </c>
      <c r="G470" s="19">
        <v>0.26</v>
      </c>
      <c r="H470" s="19">
        <f t="shared" si="144"/>
        <v>0.26468000000000003</v>
      </c>
      <c r="I470" s="19">
        <f t="shared" si="158"/>
        <v>126.96625489600002</v>
      </c>
      <c r="J470" s="17">
        <v>2.4E-2</v>
      </c>
      <c r="K470" s="12">
        <f t="shared" si="159"/>
        <v>11.512732800000002</v>
      </c>
      <c r="L470" s="97" t="s">
        <v>626</v>
      </c>
      <c r="M470" s="98">
        <v>44.4</v>
      </c>
      <c r="N470" s="19">
        <f t="shared" si="141"/>
        <v>36.940799999999996</v>
      </c>
      <c r="O470" s="19">
        <f t="shared" si="142"/>
        <v>0.8865791999999999</v>
      </c>
      <c r="P470" s="19">
        <f t="shared" si="147"/>
        <v>425.28955981824004</v>
      </c>
      <c r="Q470" s="19">
        <f t="shared" si="143"/>
        <v>552.25581471424005</v>
      </c>
      <c r="R470" s="52"/>
    </row>
    <row r="471" spans="2:19" x14ac:dyDescent="0.25">
      <c r="B471" s="51">
        <f>IF(F471&lt;&gt;"",1+MAX($B$22:B470),"")</f>
        <v>271</v>
      </c>
      <c r="C471" s="132"/>
      <c r="D471" s="10" t="s">
        <v>337</v>
      </c>
      <c r="E471" s="25" t="s">
        <v>82</v>
      </c>
      <c r="F471" s="41">
        <v>4268</v>
      </c>
      <c r="G471" s="19">
        <v>0.26</v>
      </c>
      <c r="H471" s="19">
        <f t="shared" si="144"/>
        <v>0.26468000000000003</v>
      </c>
      <c r="I471" s="19">
        <f t="shared" si="158"/>
        <v>1129.6542400000001</v>
      </c>
      <c r="J471" s="17">
        <v>0.03</v>
      </c>
      <c r="K471" s="12">
        <f t="shared" si="159"/>
        <v>128.04</v>
      </c>
      <c r="L471" s="97" t="s">
        <v>626</v>
      </c>
      <c r="M471" s="98">
        <v>44.4</v>
      </c>
      <c r="N471" s="19">
        <f t="shared" si="141"/>
        <v>36.940799999999996</v>
      </c>
      <c r="O471" s="19">
        <f t="shared" si="142"/>
        <v>1.1082239999999999</v>
      </c>
      <c r="P471" s="19">
        <f t="shared" si="147"/>
        <v>4729.9000319999996</v>
      </c>
      <c r="Q471" s="19">
        <f t="shared" si="143"/>
        <v>5859.5542719999994</v>
      </c>
      <c r="R471" s="52"/>
    </row>
    <row r="472" spans="2:19" x14ac:dyDescent="0.25">
      <c r="B472" s="51" t="str">
        <f>IF(F472&lt;&gt;"",1+MAX($B$22:B471),"")</f>
        <v/>
      </c>
      <c r="C472" s="55"/>
      <c r="D472" s="10"/>
      <c r="E472" s="25"/>
      <c r="F472" s="41"/>
      <c r="G472" s="19"/>
      <c r="H472" s="19">
        <f t="shared" si="144"/>
        <v>0</v>
      </c>
      <c r="I472" s="19">
        <f t="shared" si="146"/>
        <v>0</v>
      </c>
      <c r="J472" s="17"/>
      <c r="K472" s="12">
        <f t="shared" si="145"/>
        <v>0</v>
      </c>
      <c r="L472" s="12"/>
      <c r="M472" s="19"/>
      <c r="N472" s="19">
        <f t="shared" si="141"/>
        <v>0</v>
      </c>
      <c r="O472" s="19">
        <f t="shared" si="142"/>
        <v>0</v>
      </c>
      <c r="P472" s="19">
        <f t="shared" si="147"/>
        <v>0</v>
      </c>
      <c r="Q472" s="19">
        <f t="shared" si="143"/>
        <v>0</v>
      </c>
      <c r="R472" s="52"/>
      <c r="S472" s="14"/>
    </row>
    <row r="473" spans="2:19" s="14" customFormat="1" ht="12.75" customHeight="1" x14ac:dyDescent="0.25">
      <c r="B473" s="15" t="str">
        <f>IF(F473&lt;&gt;"",1+MAX($B$22:B472),"")</f>
        <v/>
      </c>
      <c r="C473" s="15" t="s">
        <v>53</v>
      </c>
      <c r="D473" s="8" t="s">
        <v>23</v>
      </c>
      <c r="E473" s="130" t="s">
        <v>69</v>
      </c>
      <c r="F473" s="130"/>
      <c r="G473" s="130"/>
      <c r="H473" s="54">
        <f>SUM(I474:I510)</f>
        <v>3933.56432</v>
      </c>
      <c r="I473" s="9">
        <f t="shared" ref="I473" si="160">F473*H473</f>
        <v>0</v>
      </c>
      <c r="J473" s="9"/>
      <c r="K473" s="131" t="s">
        <v>70</v>
      </c>
      <c r="L473" s="131"/>
      <c r="M473" s="131"/>
      <c r="N473" s="131"/>
      <c r="O473" s="54">
        <f>SUM(P474:P510)</f>
        <v>1417.2614931785138</v>
      </c>
      <c r="P473" s="9">
        <f t="shared" ref="P473" si="161">F473*O473</f>
        <v>0</v>
      </c>
      <c r="Q473" s="50">
        <f>SUM(Q474:Q510)</f>
        <v>5350.8258131785133</v>
      </c>
      <c r="R473" s="50">
        <f>(Q473)+(H473*$Q$8)+(O473*$Q$9)+(Q473*$Q$10)+($Q$11*((Q473)+(H473*$Q$8)+(O473*$Q$9)+(Q473*$Q$10)))+(Q473*$Q$12)</f>
        <v>7475.1390111497385</v>
      </c>
    </row>
    <row r="474" spans="2:19" x14ac:dyDescent="0.25">
      <c r="B474" s="51" t="str">
        <f>IF(F474&lt;&gt;"",1+MAX($B$22:B473),"")</f>
        <v/>
      </c>
      <c r="C474" s="55"/>
      <c r="D474" s="10"/>
      <c r="E474" s="25"/>
      <c r="F474" s="41"/>
      <c r="G474" s="19"/>
      <c r="H474" s="19">
        <f t="shared" ref="H474:H510" si="162">G474*$T$2</f>
        <v>0</v>
      </c>
      <c r="I474" s="19">
        <f t="shared" ref="I474:I510" si="163">F474*H474</f>
        <v>0</v>
      </c>
      <c r="J474" s="17"/>
      <c r="K474" s="12">
        <f t="shared" ref="K474:K510" si="164">F474*J474</f>
        <v>0</v>
      </c>
      <c r="L474" s="12"/>
      <c r="M474" s="19"/>
      <c r="N474" s="19">
        <f t="shared" ref="N474:N510" si="165">M474*$U$2</f>
        <v>0</v>
      </c>
      <c r="O474" s="19">
        <f t="shared" ref="O474:O510" si="166">J474*N474</f>
        <v>0</v>
      </c>
      <c r="P474" s="19">
        <f t="shared" ref="P474:P510" si="167">F474*O474</f>
        <v>0</v>
      </c>
      <c r="Q474" s="19">
        <f t="shared" ref="Q474:Q510" si="168">I474+P474</f>
        <v>0</v>
      </c>
      <c r="R474" s="52"/>
      <c r="S474" s="14"/>
    </row>
    <row r="475" spans="2:19" x14ac:dyDescent="0.25">
      <c r="B475" s="70" t="str">
        <f>IF(F475&lt;&gt;"",1+MAX($B$22:B474),"")</f>
        <v/>
      </c>
      <c r="C475" s="71"/>
      <c r="D475" s="72" t="s">
        <v>95</v>
      </c>
      <c r="E475" s="25"/>
      <c r="F475" s="41"/>
      <c r="G475" s="19"/>
      <c r="H475" s="19">
        <f t="shared" si="162"/>
        <v>0</v>
      </c>
      <c r="I475" s="19">
        <f t="shared" si="163"/>
        <v>0</v>
      </c>
      <c r="J475" s="17"/>
      <c r="K475" s="12">
        <f t="shared" si="164"/>
        <v>0</v>
      </c>
      <c r="L475" s="12"/>
      <c r="M475" s="19"/>
      <c r="N475" s="19">
        <f t="shared" si="165"/>
        <v>0</v>
      </c>
      <c r="O475" s="19">
        <f t="shared" si="166"/>
        <v>0</v>
      </c>
      <c r="P475" s="19">
        <f t="shared" si="167"/>
        <v>0</v>
      </c>
      <c r="Q475" s="19">
        <f t="shared" si="168"/>
        <v>0</v>
      </c>
      <c r="R475" s="52"/>
    </row>
    <row r="476" spans="2:19" ht="96.6" x14ac:dyDescent="0.25">
      <c r="B476" s="51">
        <f>IF(F476&lt;&gt;"",1+MAX($B$22:B475),"")</f>
        <v>272</v>
      </c>
      <c r="C476" s="132" t="s">
        <v>446</v>
      </c>
      <c r="D476" s="10" t="s">
        <v>449</v>
      </c>
      <c r="E476" s="25" t="s">
        <v>90</v>
      </c>
      <c r="F476" s="41">
        <f>11</f>
        <v>11</v>
      </c>
      <c r="G476" s="19">
        <v>10.5</v>
      </c>
      <c r="H476" s="19">
        <f t="shared" si="162"/>
        <v>10.689</v>
      </c>
      <c r="I476" s="19">
        <f t="shared" si="163"/>
        <v>117.57900000000001</v>
      </c>
      <c r="J476" s="17">
        <v>0.125</v>
      </c>
      <c r="K476" s="12">
        <f t="shared" si="164"/>
        <v>1.375</v>
      </c>
      <c r="L476" s="97" t="s">
        <v>629</v>
      </c>
      <c r="M476" s="98">
        <v>53.15</v>
      </c>
      <c r="N476" s="19">
        <f t="shared" si="165"/>
        <v>44.220799999999997</v>
      </c>
      <c r="O476" s="19">
        <f t="shared" si="166"/>
        <v>5.5275999999999996</v>
      </c>
      <c r="P476" s="19">
        <f t="shared" si="167"/>
        <v>60.803599999999996</v>
      </c>
      <c r="Q476" s="19">
        <f t="shared" si="168"/>
        <v>178.3826</v>
      </c>
      <c r="R476" s="52"/>
    </row>
    <row r="477" spans="2:19" ht="110.4" x14ac:dyDescent="0.25">
      <c r="B477" s="51">
        <f>IF(F477&lt;&gt;"",1+MAX($B$22:B476),"")</f>
        <v>273</v>
      </c>
      <c r="C477" s="132"/>
      <c r="D477" s="10" t="s">
        <v>450</v>
      </c>
      <c r="E477" s="25" t="s">
        <v>90</v>
      </c>
      <c r="F477" s="41">
        <f>2</f>
        <v>2</v>
      </c>
      <c r="G477" s="94"/>
      <c r="H477" s="19">
        <v>60</v>
      </c>
      <c r="I477" s="19">
        <f t="shared" si="163"/>
        <v>120</v>
      </c>
      <c r="J477" s="17">
        <v>0.40500000000000003</v>
      </c>
      <c r="K477" s="12">
        <f t="shared" si="164"/>
        <v>0.81</v>
      </c>
      <c r="L477" s="97" t="s">
        <v>629</v>
      </c>
      <c r="M477" s="98">
        <v>53.15</v>
      </c>
      <c r="N477" s="19">
        <f t="shared" si="165"/>
        <v>44.220799999999997</v>
      </c>
      <c r="O477" s="19">
        <f t="shared" si="166"/>
        <v>17.909424000000001</v>
      </c>
      <c r="P477" s="19">
        <f t="shared" si="167"/>
        <v>35.818848000000003</v>
      </c>
      <c r="Q477" s="19">
        <f t="shared" si="168"/>
        <v>155.818848</v>
      </c>
      <c r="R477" s="52"/>
    </row>
    <row r="478" spans="2:19" ht="96.6" x14ac:dyDescent="0.25">
      <c r="B478" s="51">
        <f>IF(F478&lt;&gt;"",1+MAX($B$22:B477),"")</f>
        <v>274</v>
      </c>
      <c r="C478" s="132"/>
      <c r="D478" s="10" t="s">
        <v>451</v>
      </c>
      <c r="E478" s="25" t="s">
        <v>90</v>
      </c>
      <c r="F478" s="41">
        <f>2</f>
        <v>2</v>
      </c>
      <c r="G478" s="94"/>
      <c r="H478" s="19">
        <v>6</v>
      </c>
      <c r="I478" s="19">
        <f t="shared" si="163"/>
        <v>12</v>
      </c>
      <c r="J478" s="17">
        <v>0.125</v>
      </c>
      <c r="K478" s="12">
        <f t="shared" ref="K478" si="169">F478*J478</f>
        <v>0.25</v>
      </c>
      <c r="L478" s="97" t="s">
        <v>629</v>
      </c>
      <c r="M478" s="98">
        <v>53.15</v>
      </c>
      <c r="N478" s="19">
        <f t="shared" si="165"/>
        <v>44.220799999999997</v>
      </c>
      <c r="O478" s="19">
        <f t="shared" si="166"/>
        <v>5.5275999999999996</v>
      </c>
      <c r="P478" s="19">
        <f t="shared" si="167"/>
        <v>11.055199999999999</v>
      </c>
      <c r="Q478" s="19">
        <f t="shared" si="168"/>
        <v>23.055199999999999</v>
      </c>
      <c r="R478" s="52"/>
    </row>
    <row r="479" spans="2:19" ht="96.6" x14ac:dyDescent="0.25">
      <c r="B479" s="51">
        <f>IF(F479&lt;&gt;"",1+MAX($B$22:B478),"")</f>
        <v>275</v>
      </c>
      <c r="C479" s="132"/>
      <c r="D479" s="10" t="s">
        <v>452</v>
      </c>
      <c r="E479" s="25" t="s">
        <v>90</v>
      </c>
      <c r="F479" s="41">
        <f>2</f>
        <v>2</v>
      </c>
      <c r="G479" s="94"/>
      <c r="H479" s="19">
        <v>12</v>
      </c>
      <c r="I479" s="19">
        <f t="shared" si="163"/>
        <v>24</v>
      </c>
      <c r="J479" s="17">
        <v>0.125</v>
      </c>
      <c r="K479" s="12">
        <f t="shared" ref="K479:K487" si="170">F479*J479</f>
        <v>0.25</v>
      </c>
      <c r="L479" s="97" t="s">
        <v>629</v>
      </c>
      <c r="M479" s="98">
        <v>53.15</v>
      </c>
      <c r="N479" s="19">
        <f t="shared" si="165"/>
        <v>44.220799999999997</v>
      </c>
      <c r="O479" s="19">
        <f t="shared" si="166"/>
        <v>5.5275999999999996</v>
      </c>
      <c r="P479" s="19">
        <f t="shared" si="167"/>
        <v>11.055199999999999</v>
      </c>
      <c r="Q479" s="19">
        <f t="shared" si="168"/>
        <v>35.055199999999999</v>
      </c>
      <c r="R479" s="52"/>
    </row>
    <row r="480" spans="2:19" ht="124.2" x14ac:dyDescent="0.25">
      <c r="B480" s="51">
        <f>IF(F480&lt;&gt;"",1+MAX($B$22:B479),"")</f>
        <v>276</v>
      </c>
      <c r="C480" s="132"/>
      <c r="D480" s="10" t="s">
        <v>453</v>
      </c>
      <c r="E480" s="25" t="s">
        <v>90</v>
      </c>
      <c r="F480" s="41">
        <f>1</f>
        <v>1</v>
      </c>
      <c r="G480" s="94"/>
      <c r="H480" s="19">
        <v>116</v>
      </c>
      <c r="I480" s="19">
        <f t="shared" si="163"/>
        <v>116</v>
      </c>
      <c r="J480" s="17">
        <v>0.53600000000000003</v>
      </c>
      <c r="K480" s="12">
        <f t="shared" si="170"/>
        <v>0.53600000000000003</v>
      </c>
      <c r="L480" s="97" t="s">
        <v>629</v>
      </c>
      <c r="M480" s="98">
        <v>53.15</v>
      </c>
      <c r="N480" s="19">
        <f t="shared" si="165"/>
        <v>44.220799999999997</v>
      </c>
      <c r="O480" s="19">
        <f t="shared" si="166"/>
        <v>23.702348799999999</v>
      </c>
      <c r="P480" s="19">
        <f t="shared" si="167"/>
        <v>23.702348799999999</v>
      </c>
      <c r="Q480" s="19">
        <f t="shared" si="168"/>
        <v>139.70234880000001</v>
      </c>
      <c r="R480" s="52"/>
    </row>
    <row r="481" spans="2:18" ht="96.6" x14ac:dyDescent="0.25">
      <c r="B481" s="51">
        <f>IF(F481&lt;&gt;"",1+MAX($B$22:B480),"")</f>
        <v>277</v>
      </c>
      <c r="C481" s="132"/>
      <c r="D481" s="10" t="s">
        <v>454</v>
      </c>
      <c r="E481" s="25" t="s">
        <v>90</v>
      </c>
      <c r="F481" s="41">
        <f>2</f>
        <v>2</v>
      </c>
      <c r="G481" s="94"/>
      <c r="H481" s="19">
        <v>40</v>
      </c>
      <c r="I481" s="19">
        <f t="shared" si="163"/>
        <v>80</v>
      </c>
      <c r="J481" s="17">
        <v>0.40500000000000003</v>
      </c>
      <c r="K481" s="12">
        <f t="shared" si="170"/>
        <v>0.81</v>
      </c>
      <c r="L481" s="97" t="s">
        <v>629</v>
      </c>
      <c r="M481" s="98">
        <v>53.15</v>
      </c>
      <c r="N481" s="19">
        <f t="shared" si="165"/>
        <v>44.220799999999997</v>
      </c>
      <c r="O481" s="19">
        <f t="shared" si="166"/>
        <v>17.909424000000001</v>
      </c>
      <c r="P481" s="19">
        <f t="shared" si="167"/>
        <v>35.818848000000003</v>
      </c>
      <c r="Q481" s="19">
        <f t="shared" si="168"/>
        <v>115.818848</v>
      </c>
      <c r="R481" s="52"/>
    </row>
    <row r="482" spans="2:18" ht="124.2" x14ac:dyDescent="0.25">
      <c r="B482" s="51">
        <f>IF(F482&lt;&gt;"",1+MAX($B$22:B481),"")</f>
        <v>278</v>
      </c>
      <c r="C482" s="132"/>
      <c r="D482" s="10" t="s">
        <v>455</v>
      </c>
      <c r="E482" s="25" t="s">
        <v>90</v>
      </c>
      <c r="F482" s="41">
        <f>3</f>
        <v>3</v>
      </c>
      <c r="G482" s="94"/>
      <c r="H482" s="19">
        <v>17</v>
      </c>
      <c r="I482" s="19">
        <f t="shared" si="163"/>
        <v>51</v>
      </c>
      <c r="J482" s="17">
        <v>0.26600000000000001</v>
      </c>
      <c r="K482" s="12">
        <f t="shared" si="170"/>
        <v>0.79800000000000004</v>
      </c>
      <c r="L482" s="97" t="s">
        <v>629</v>
      </c>
      <c r="M482" s="98">
        <v>53.15</v>
      </c>
      <c r="N482" s="19">
        <f t="shared" si="165"/>
        <v>44.220799999999997</v>
      </c>
      <c r="O482" s="19">
        <f t="shared" si="166"/>
        <v>11.7627328</v>
      </c>
      <c r="P482" s="19">
        <f t="shared" si="167"/>
        <v>35.288198399999999</v>
      </c>
      <c r="Q482" s="19">
        <f t="shared" si="168"/>
        <v>86.288198399999999</v>
      </c>
      <c r="R482" s="52"/>
    </row>
    <row r="483" spans="2:18" ht="124.2" x14ac:dyDescent="0.25">
      <c r="B483" s="51">
        <f>IF(F483&lt;&gt;"",1+MAX($B$22:B482),"")</f>
        <v>279</v>
      </c>
      <c r="C483" s="132"/>
      <c r="D483" s="10" t="s">
        <v>456</v>
      </c>
      <c r="E483" s="25" t="s">
        <v>90</v>
      </c>
      <c r="F483" s="41">
        <f>1</f>
        <v>1</v>
      </c>
      <c r="G483" s="94"/>
      <c r="H483" s="19">
        <v>17</v>
      </c>
      <c r="I483" s="19">
        <f t="shared" si="163"/>
        <v>17</v>
      </c>
      <c r="J483" s="17">
        <v>0.26600000000000001</v>
      </c>
      <c r="K483" s="12">
        <f t="shared" si="170"/>
        <v>0.26600000000000001</v>
      </c>
      <c r="L483" s="97" t="s">
        <v>629</v>
      </c>
      <c r="M483" s="98">
        <v>53.15</v>
      </c>
      <c r="N483" s="19">
        <f t="shared" si="165"/>
        <v>44.220799999999997</v>
      </c>
      <c r="O483" s="19">
        <f t="shared" si="166"/>
        <v>11.7627328</v>
      </c>
      <c r="P483" s="19">
        <f t="shared" si="167"/>
        <v>11.7627328</v>
      </c>
      <c r="Q483" s="19">
        <f t="shared" si="168"/>
        <v>28.762732800000002</v>
      </c>
      <c r="R483" s="52"/>
    </row>
    <row r="484" spans="2:18" ht="124.2" x14ac:dyDescent="0.25">
      <c r="B484" s="51">
        <f>IF(F484&lt;&gt;"",1+MAX($B$22:B483),"")</f>
        <v>280</v>
      </c>
      <c r="C484" s="132"/>
      <c r="D484" s="10" t="s">
        <v>457</v>
      </c>
      <c r="E484" s="25" t="s">
        <v>90</v>
      </c>
      <c r="F484" s="41">
        <f>3</f>
        <v>3</v>
      </c>
      <c r="G484" s="94"/>
      <c r="H484" s="19">
        <v>17</v>
      </c>
      <c r="I484" s="19">
        <f t="shared" si="163"/>
        <v>51</v>
      </c>
      <c r="J484" s="17">
        <v>0.26600000000000001</v>
      </c>
      <c r="K484" s="12">
        <f t="shared" si="170"/>
        <v>0.79800000000000004</v>
      </c>
      <c r="L484" s="97" t="s">
        <v>629</v>
      </c>
      <c r="M484" s="98">
        <v>53.15</v>
      </c>
      <c r="N484" s="19">
        <f t="shared" si="165"/>
        <v>44.220799999999997</v>
      </c>
      <c r="O484" s="19">
        <f t="shared" si="166"/>
        <v>11.7627328</v>
      </c>
      <c r="P484" s="19">
        <f t="shared" si="167"/>
        <v>35.288198399999999</v>
      </c>
      <c r="Q484" s="19">
        <f t="shared" si="168"/>
        <v>86.288198399999999</v>
      </c>
      <c r="R484" s="52"/>
    </row>
    <row r="485" spans="2:18" ht="124.2" x14ac:dyDescent="0.25">
      <c r="B485" s="51">
        <f>IF(F485&lt;&gt;"",1+MAX($B$22:B484),"")</f>
        <v>281</v>
      </c>
      <c r="C485" s="132"/>
      <c r="D485" s="10" t="s">
        <v>458</v>
      </c>
      <c r="E485" s="25" t="s">
        <v>90</v>
      </c>
      <c r="F485" s="41">
        <f>2</f>
        <v>2</v>
      </c>
      <c r="G485" s="94"/>
      <c r="H485" s="19">
        <v>17</v>
      </c>
      <c r="I485" s="19">
        <f t="shared" si="163"/>
        <v>34</v>
      </c>
      <c r="J485" s="17">
        <v>0.26600000000000001</v>
      </c>
      <c r="K485" s="12">
        <f t="shared" si="170"/>
        <v>0.53200000000000003</v>
      </c>
      <c r="L485" s="97" t="s">
        <v>629</v>
      </c>
      <c r="M485" s="98">
        <v>53.15</v>
      </c>
      <c r="N485" s="19">
        <f t="shared" si="165"/>
        <v>44.220799999999997</v>
      </c>
      <c r="O485" s="19">
        <f t="shared" si="166"/>
        <v>11.7627328</v>
      </c>
      <c r="P485" s="19">
        <f t="shared" si="167"/>
        <v>23.5254656</v>
      </c>
      <c r="Q485" s="19">
        <f t="shared" si="168"/>
        <v>57.525465600000004</v>
      </c>
      <c r="R485" s="52"/>
    </row>
    <row r="486" spans="2:18" ht="124.2" x14ac:dyDescent="0.25">
      <c r="B486" s="51">
        <f>IF(F486&lt;&gt;"",1+MAX($B$22:B485),"")</f>
        <v>282</v>
      </c>
      <c r="C486" s="132"/>
      <c r="D486" s="10" t="s">
        <v>459</v>
      </c>
      <c r="E486" s="25" t="s">
        <v>90</v>
      </c>
      <c r="F486" s="41">
        <f>3</f>
        <v>3</v>
      </c>
      <c r="G486" s="94"/>
      <c r="H486" s="19">
        <v>23</v>
      </c>
      <c r="I486" s="19">
        <f t="shared" si="163"/>
        <v>69</v>
      </c>
      <c r="J486" s="17">
        <v>0.34799999999999998</v>
      </c>
      <c r="K486" s="12">
        <f t="shared" si="170"/>
        <v>1.044</v>
      </c>
      <c r="L486" s="97" t="s">
        <v>629</v>
      </c>
      <c r="M486" s="98">
        <v>53.15</v>
      </c>
      <c r="N486" s="19">
        <f t="shared" si="165"/>
        <v>44.220799999999997</v>
      </c>
      <c r="O486" s="19">
        <f t="shared" si="166"/>
        <v>15.388838399999997</v>
      </c>
      <c r="P486" s="19">
        <f t="shared" si="167"/>
        <v>46.166515199999992</v>
      </c>
      <c r="Q486" s="19">
        <f t="shared" si="168"/>
        <v>115.16651519999999</v>
      </c>
      <c r="R486" s="52"/>
    </row>
    <row r="487" spans="2:18" ht="124.2" x14ac:dyDescent="0.25">
      <c r="B487" s="51">
        <f>IF(F487&lt;&gt;"",1+MAX($B$22:B486),"")</f>
        <v>283</v>
      </c>
      <c r="C487" s="132"/>
      <c r="D487" s="10" t="s">
        <v>460</v>
      </c>
      <c r="E487" s="25" t="s">
        <v>90</v>
      </c>
      <c r="F487" s="41">
        <v>1</v>
      </c>
      <c r="G487" s="94"/>
      <c r="H487" s="19">
        <v>23</v>
      </c>
      <c r="I487" s="19">
        <f t="shared" si="163"/>
        <v>23</v>
      </c>
      <c r="J487" s="17">
        <v>0.34799999999999998</v>
      </c>
      <c r="K487" s="12">
        <f t="shared" si="170"/>
        <v>0.34799999999999998</v>
      </c>
      <c r="L487" s="97" t="s">
        <v>629</v>
      </c>
      <c r="M487" s="98">
        <v>53.15</v>
      </c>
      <c r="N487" s="19">
        <f t="shared" si="165"/>
        <v>44.220799999999997</v>
      </c>
      <c r="O487" s="19">
        <f t="shared" si="166"/>
        <v>15.388838399999997</v>
      </c>
      <c r="P487" s="19">
        <f t="shared" si="167"/>
        <v>15.388838399999997</v>
      </c>
      <c r="Q487" s="19">
        <f t="shared" si="168"/>
        <v>38.388838399999997</v>
      </c>
      <c r="R487" s="52"/>
    </row>
    <row r="488" spans="2:18" ht="124.2" x14ac:dyDescent="0.25">
      <c r="B488" s="51">
        <f>IF(F488&lt;&gt;"",1+MAX($B$22:B487),"")</f>
        <v>284</v>
      </c>
      <c r="C488" s="132"/>
      <c r="D488" s="10" t="s">
        <v>461</v>
      </c>
      <c r="E488" s="25" t="s">
        <v>90</v>
      </c>
      <c r="F488" s="41">
        <f>4</f>
        <v>4</v>
      </c>
      <c r="G488" s="94"/>
      <c r="H488" s="19">
        <v>11</v>
      </c>
      <c r="I488" s="19">
        <f t="shared" si="163"/>
        <v>44</v>
      </c>
      <c r="J488" s="17">
        <v>0.125</v>
      </c>
      <c r="K488" s="12">
        <f t="shared" ref="K488:K493" si="171">F488*J488</f>
        <v>0.5</v>
      </c>
      <c r="L488" s="97" t="s">
        <v>629</v>
      </c>
      <c r="M488" s="98">
        <v>53.15</v>
      </c>
      <c r="N488" s="19">
        <f t="shared" si="165"/>
        <v>44.220799999999997</v>
      </c>
      <c r="O488" s="19">
        <f t="shared" si="166"/>
        <v>5.5275999999999996</v>
      </c>
      <c r="P488" s="19">
        <f t="shared" si="167"/>
        <v>22.110399999999998</v>
      </c>
      <c r="Q488" s="19">
        <f t="shared" si="168"/>
        <v>66.110399999999998</v>
      </c>
      <c r="R488" s="52"/>
    </row>
    <row r="489" spans="2:18" ht="124.2" x14ac:dyDescent="0.25">
      <c r="B489" s="51">
        <f>IF(F489&lt;&gt;"",1+MAX($B$22:B488),"")</f>
        <v>285</v>
      </c>
      <c r="C489" s="132"/>
      <c r="D489" s="10" t="s">
        <v>462</v>
      </c>
      <c r="E489" s="25" t="s">
        <v>90</v>
      </c>
      <c r="F489" s="41">
        <v>2</v>
      </c>
      <c r="G489" s="94"/>
      <c r="H489" s="19">
        <v>11</v>
      </c>
      <c r="I489" s="19">
        <f t="shared" si="163"/>
        <v>22</v>
      </c>
      <c r="J489" s="17">
        <v>0.125</v>
      </c>
      <c r="K489" s="12">
        <f t="shared" si="171"/>
        <v>0.25</v>
      </c>
      <c r="L489" s="97" t="s">
        <v>629</v>
      </c>
      <c r="M489" s="98">
        <v>53.15</v>
      </c>
      <c r="N489" s="19">
        <f t="shared" si="165"/>
        <v>44.220799999999997</v>
      </c>
      <c r="O489" s="19">
        <f t="shared" si="166"/>
        <v>5.5275999999999996</v>
      </c>
      <c r="P489" s="19">
        <f t="shared" si="167"/>
        <v>11.055199999999999</v>
      </c>
      <c r="Q489" s="19">
        <f t="shared" si="168"/>
        <v>33.055199999999999</v>
      </c>
      <c r="R489" s="52"/>
    </row>
    <row r="490" spans="2:18" ht="124.2" x14ac:dyDescent="0.25">
      <c r="B490" s="51">
        <f>IF(F490&lt;&gt;"",1+MAX($B$22:B489),"")</f>
        <v>286</v>
      </c>
      <c r="C490" s="132"/>
      <c r="D490" s="10" t="s">
        <v>463</v>
      </c>
      <c r="E490" s="25" t="s">
        <v>90</v>
      </c>
      <c r="F490" s="41">
        <f>2</f>
        <v>2</v>
      </c>
      <c r="G490" s="94"/>
      <c r="H490" s="19">
        <v>99</v>
      </c>
      <c r="I490" s="19">
        <f t="shared" si="163"/>
        <v>198</v>
      </c>
      <c r="J490" s="17">
        <v>0.53600000000000003</v>
      </c>
      <c r="K490" s="12">
        <f t="shared" si="171"/>
        <v>1.0720000000000001</v>
      </c>
      <c r="L490" s="97" t="s">
        <v>629</v>
      </c>
      <c r="M490" s="98">
        <v>53.15</v>
      </c>
      <c r="N490" s="19">
        <f t="shared" si="165"/>
        <v>44.220799999999997</v>
      </c>
      <c r="O490" s="19">
        <f t="shared" si="166"/>
        <v>23.702348799999999</v>
      </c>
      <c r="P490" s="19">
        <f t="shared" si="167"/>
        <v>47.404697599999999</v>
      </c>
      <c r="Q490" s="19">
        <f t="shared" si="168"/>
        <v>245.40469759999999</v>
      </c>
      <c r="R490" s="52"/>
    </row>
    <row r="491" spans="2:18" ht="124.2" x14ac:dyDescent="0.25">
      <c r="B491" s="51">
        <f>IF(F491&lt;&gt;"",1+MAX($B$22:B490),"")</f>
        <v>287</v>
      </c>
      <c r="C491" s="132"/>
      <c r="D491" s="10" t="s">
        <v>464</v>
      </c>
      <c r="E491" s="25" t="s">
        <v>90</v>
      </c>
      <c r="F491" s="41">
        <f>5</f>
        <v>5</v>
      </c>
      <c r="G491" s="94"/>
      <c r="H491" s="19">
        <v>75</v>
      </c>
      <c r="I491" s="19">
        <f t="shared" si="163"/>
        <v>375</v>
      </c>
      <c r="J491" s="17">
        <v>0.34799999999999998</v>
      </c>
      <c r="K491" s="12">
        <f t="shared" si="171"/>
        <v>1.7399999999999998</v>
      </c>
      <c r="L491" s="97" t="s">
        <v>629</v>
      </c>
      <c r="M491" s="98">
        <v>53.15</v>
      </c>
      <c r="N491" s="19">
        <f t="shared" si="165"/>
        <v>44.220799999999997</v>
      </c>
      <c r="O491" s="19">
        <f t="shared" si="166"/>
        <v>15.388838399999997</v>
      </c>
      <c r="P491" s="19">
        <f t="shared" si="167"/>
        <v>76.944191999999987</v>
      </c>
      <c r="Q491" s="19">
        <f t="shared" si="168"/>
        <v>451.94419199999999</v>
      </c>
      <c r="R491" s="52"/>
    </row>
    <row r="492" spans="2:18" ht="96.6" x14ac:dyDescent="0.25">
      <c r="B492" s="51">
        <f>IF(F492&lt;&gt;"",1+MAX($B$22:B491),"")</f>
        <v>288</v>
      </c>
      <c r="C492" s="132"/>
      <c r="D492" s="10" t="s">
        <v>465</v>
      </c>
      <c r="E492" s="25" t="s">
        <v>90</v>
      </c>
      <c r="F492" s="41">
        <f>1</f>
        <v>1</v>
      </c>
      <c r="G492" s="19">
        <v>44.74</v>
      </c>
      <c r="H492" s="19">
        <f t="shared" si="162"/>
        <v>45.545320000000004</v>
      </c>
      <c r="I492" s="19">
        <f t="shared" si="163"/>
        <v>45.545320000000004</v>
      </c>
      <c r="J492" s="17">
        <v>0.61099999999999999</v>
      </c>
      <c r="K492" s="12">
        <f t="shared" si="171"/>
        <v>0.61099999999999999</v>
      </c>
      <c r="L492" s="97" t="s">
        <v>629</v>
      </c>
      <c r="M492" s="98">
        <v>53.15</v>
      </c>
      <c r="N492" s="19">
        <f t="shared" si="165"/>
        <v>44.220799999999997</v>
      </c>
      <c r="O492" s="19">
        <f t="shared" si="166"/>
        <v>27.018908799999998</v>
      </c>
      <c r="P492" s="19">
        <f t="shared" si="167"/>
        <v>27.018908799999998</v>
      </c>
      <c r="Q492" s="19">
        <f t="shared" si="168"/>
        <v>72.564228799999995</v>
      </c>
      <c r="R492" s="52"/>
    </row>
    <row r="493" spans="2:18" ht="124.2" x14ac:dyDescent="0.25">
      <c r="B493" s="51">
        <f>IF(F493&lt;&gt;"",1+MAX($B$22:B492),"")</f>
        <v>289</v>
      </c>
      <c r="C493" s="132"/>
      <c r="D493" s="10" t="s">
        <v>466</v>
      </c>
      <c r="E493" s="25" t="s">
        <v>90</v>
      </c>
      <c r="F493" s="41">
        <f>1</f>
        <v>1</v>
      </c>
      <c r="G493" s="94"/>
      <c r="H493" s="19">
        <v>574</v>
      </c>
      <c r="I493" s="19">
        <f t="shared" si="163"/>
        <v>574</v>
      </c>
      <c r="J493" s="17">
        <v>4.8286434285714286</v>
      </c>
      <c r="K493" s="12">
        <f t="shared" si="171"/>
        <v>4.8286434285714286</v>
      </c>
      <c r="L493" s="97" t="s">
        <v>632</v>
      </c>
      <c r="M493" s="98">
        <v>53.15</v>
      </c>
      <c r="N493" s="19">
        <f t="shared" si="165"/>
        <v>44.220799999999997</v>
      </c>
      <c r="O493" s="19">
        <f t="shared" si="166"/>
        <v>213.52647532617141</v>
      </c>
      <c r="P493" s="19">
        <f t="shared" si="167"/>
        <v>213.52647532617141</v>
      </c>
      <c r="Q493" s="19">
        <f t="shared" si="168"/>
        <v>787.52647532617141</v>
      </c>
      <c r="R493" s="52"/>
    </row>
    <row r="494" spans="2:18" ht="124.2" x14ac:dyDescent="0.25">
      <c r="B494" s="51">
        <f>IF(F494&lt;&gt;"",1+MAX($B$22:B493),"")</f>
        <v>290</v>
      </c>
      <c r="C494" s="132"/>
      <c r="D494" s="10" t="s">
        <v>467</v>
      </c>
      <c r="E494" s="25" t="s">
        <v>90</v>
      </c>
      <c r="F494" s="41">
        <f>1</f>
        <v>1</v>
      </c>
      <c r="G494" s="94"/>
      <c r="H494" s="19">
        <v>601</v>
      </c>
      <c r="I494" s="19">
        <f t="shared" si="163"/>
        <v>601</v>
      </c>
      <c r="J494" s="17">
        <v>4.8286434285714286</v>
      </c>
      <c r="K494" s="12">
        <f t="shared" ref="K494:K496" si="172">F494*J494</f>
        <v>4.8286434285714286</v>
      </c>
      <c r="L494" s="97" t="s">
        <v>632</v>
      </c>
      <c r="M494" s="98">
        <v>53.15</v>
      </c>
      <c r="N494" s="19">
        <f t="shared" si="165"/>
        <v>44.220799999999997</v>
      </c>
      <c r="O494" s="19">
        <f t="shared" ref="O494:O495" si="173">J494*N494</f>
        <v>213.52647532617141</v>
      </c>
      <c r="P494" s="19">
        <f t="shared" ref="P494:P495" si="174">F494*O494</f>
        <v>213.52647532617141</v>
      </c>
      <c r="Q494" s="19">
        <f t="shared" ref="Q494:Q495" si="175">I494+P494</f>
        <v>814.52647532617141</v>
      </c>
      <c r="R494" s="52"/>
    </row>
    <row r="495" spans="2:18" ht="110.4" x14ac:dyDescent="0.25">
      <c r="B495" s="51">
        <f>IF(F495&lt;&gt;"",1+MAX($B$22:B494),"")</f>
        <v>291</v>
      </c>
      <c r="C495" s="132"/>
      <c r="D495" s="10" t="s">
        <v>468</v>
      </c>
      <c r="E495" s="25" t="s">
        <v>90</v>
      </c>
      <c r="F495" s="41">
        <f>1</f>
        <v>1</v>
      </c>
      <c r="G495" s="94"/>
      <c r="H495" s="19">
        <v>900</v>
      </c>
      <c r="I495" s="19">
        <f t="shared" si="163"/>
        <v>900</v>
      </c>
      <c r="J495" s="17">
        <v>4.8286434285714286</v>
      </c>
      <c r="K495" s="12">
        <f t="shared" si="172"/>
        <v>4.8286434285714286</v>
      </c>
      <c r="L495" s="97" t="s">
        <v>632</v>
      </c>
      <c r="M495" s="98">
        <v>53.15</v>
      </c>
      <c r="N495" s="19">
        <f t="shared" si="165"/>
        <v>44.220799999999997</v>
      </c>
      <c r="O495" s="19">
        <f t="shared" si="173"/>
        <v>213.52647532617141</v>
      </c>
      <c r="P495" s="19">
        <f t="shared" si="174"/>
        <v>213.52647532617141</v>
      </c>
      <c r="Q495" s="19">
        <f t="shared" si="175"/>
        <v>1113.5264753261713</v>
      </c>
      <c r="R495" s="52"/>
    </row>
    <row r="496" spans="2:18" ht="41.4" x14ac:dyDescent="0.25">
      <c r="B496" s="51">
        <f>IF(F496&lt;&gt;"",1+MAX($B$22:B495),"")</f>
        <v>292</v>
      </c>
      <c r="C496" s="132"/>
      <c r="D496" s="10" t="s">
        <v>469</v>
      </c>
      <c r="E496" s="25" t="s">
        <v>90</v>
      </c>
      <c r="F496" s="41">
        <f>1</f>
        <v>1</v>
      </c>
      <c r="G496" s="94"/>
      <c r="H496" s="94">
        <f t="shared" si="162"/>
        <v>0</v>
      </c>
      <c r="I496" s="94">
        <f t="shared" si="163"/>
        <v>0</v>
      </c>
      <c r="J496" s="17">
        <v>0.53600000000000003</v>
      </c>
      <c r="K496" s="12">
        <f t="shared" si="172"/>
        <v>0.53600000000000003</v>
      </c>
      <c r="L496" s="97" t="s">
        <v>629</v>
      </c>
      <c r="M496" s="98">
        <v>53.15</v>
      </c>
      <c r="N496" s="19">
        <f t="shared" si="165"/>
        <v>44.220799999999997</v>
      </c>
      <c r="O496" s="19">
        <f t="shared" si="166"/>
        <v>23.702348799999999</v>
      </c>
      <c r="P496" s="19">
        <f t="shared" si="167"/>
        <v>23.702348799999999</v>
      </c>
      <c r="Q496" s="19">
        <f t="shared" si="168"/>
        <v>23.702348799999999</v>
      </c>
      <c r="R496" s="52"/>
    </row>
    <row r="497" spans="2:19" x14ac:dyDescent="0.25">
      <c r="B497" s="51" t="str">
        <f>IF(F497&lt;&gt;"",1+MAX($B$22:B496),"")</f>
        <v/>
      </c>
      <c r="C497" s="75"/>
      <c r="D497" s="10"/>
      <c r="E497" s="25"/>
      <c r="F497" s="41"/>
      <c r="G497" s="19"/>
      <c r="H497" s="19">
        <f t="shared" si="162"/>
        <v>0</v>
      </c>
      <c r="I497" s="19">
        <f t="shared" si="163"/>
        <v>0</v>
      </c>
      <c r="J497" s="17"/>
      <c r="K497" s="12">
        <f t="shared" si="164"/>
        <v>0</v>
      </c>
      <c r="L497" s="12"/>
      <c r="M497" s="19"/>
      <c r="N497" s="19">
        <f t="shared" si="165"/>
        <v>0</v>
      </c>
      <c r="O497" s="19">
        <f t="shared" si="166"/>
        <v>0</v>
      </c>
      <c r="P497" s="19">
        <f t="shared" si="167"/>
        <v>0</v>
      </c>
      <c r="Q497" s="19">
        <f t="shared" si="168"/>
        <v>0</v>
      </c>
      <c r="R497" s="52"/>
    </row>
    <row r="498" spans="2:19" x14ac:dyDescent="0.25">
      <c r="B498" s="70" t="str">
        <f>IF(F498&lt;&gt;"",1+MAX($B$22:B497),"")</f>
        <v/>
      </c>
      <c r="C498" s="71"/>
      <c r="D498" s="72" t="s">
        <v>470</v>
      </c>
      <c r="E498" s="25"/>
      <c r="F498" s="41"/>
      <c r="G498" s="19"/>
      <c r="H498" s="19">
        <f t="shared" si="162"/>
        <v>0</v>
      </c>
      <c r="I498" s="19">
        <f t="shared" si="163"/>
        <v>0</v>
      </c>
      <c r="J498" s="17"/>
      <c r="K498" s="12">
        <f t="shared" si="164"/>
        <v>0</v>
      </c>
      <c r="L498" s="12"/>
      <c r="M498" s="19"/>
      <c r="N498" s="19">
        <f t="shared" si="165"/>
        <v>0</v>
      </c>
      <c r="O498" s="19">
        <f t="shared" si="166"/>
        <v>0</v>
      </c>
      <c r="P498" s="19">
        <f t="shared" si="167"/>
        <v>0</v>
      </c>
      <c r="Q498" s="19">
        <f t="shared" si="168"/>
        <v>0</v>
      </c>
      <c r="R498" s="52"/>
    </row>
    <row r="499" spans="2:19" ht="110.4" x14ac:dyDescent="0.25">
      <c r="B499" s="51">
        <f>IF(F499&lt;&gt;"",1+MAX($B$22:B498),"")</f>
        <v>293</v>
      </c>
      <c r="C499" s="132" t="s">
        <v>344</v>
      </c>
      <c r="D499" s="10" t="s">
        <v>471</v>
      </c>
      <c r="E499" s="25" t="s">
        <v>90</v>
      </c>
      <c r="F499" s="41">
        <f>22</f>
        <v>22</v>
      </c>
      <c r="G499" s="94"/>
      <c r="H499" s="19">
        <v>4.4000000000000004</v>
      </c>
      <c r="I499" s="19">
        <f t="shared" si="163"/>
        <v>96.800000000000011</v>
      </c>
      <c r="J499" s="17">
        <v>0.125</v>
      </c>
      <c r="K499" s="12">
        <f t="shared" si="164"/>
        <v>2.75</v>
      </c>
      <c r="L499" s="97" t="s">
        <v>629</v>
      </c>
      <c r="M499" s="98">
        <v>53.15</v>
      </c>
      <c r="N499" s="19">
        <f t="shared" si="165"/>
        <v>44.220799999999997</v>
      </c>
      <c r="O499" s="19">
        <f t="shared" si="166"/>
        <v>5.5275999999999996</v>
      </c>
      <c r="P499" s="19">
        <f t="shared" si="167"/>
        <v>121.60719999999999</v>
      </c>
      <c r="Q499" s="19">
        <f t="shared" si="168"/>
        <v>218.40719999999999</v>
      </c>
      <c r="R499" s="52"/>
    </row>
    <row r="500" spans="2:19" ht="27.6" x14ac:dyDescent="0.25">
      <c r="B500" s="51" t="str">
        <f>IF(F500&lt;&gt;"",1+MAX($B$22:B499),"")</f>
        <v/>
      </c>
      <c r="C500" s="132"/>
      <c r="D500" s="10" t="s">
        <v>472</v>
      </c>
      <c r="E500" s="25"/>
      <c r="F500" s="41"/>
      <c r="G500" s="19"/>
      <c r="H500" s="19">
        <f t="shared" si="162"/>
        <v>0</v>
      </c>
      <c r="I500" s="19">
        <f t="shared" si="163"/>
        <v>0</v>
      </c>
      <c r="J500" s="17"/>
      <c r="K500" s="12">
        <f t="shared" si="164"/>
        <v>0</v>
      </c>
      <c r="L500" s="12"/>
      <c r="M500" s="19"/>
      <c r="N500" s="19">
        <f t="shared" si="165"/>
        <v>0</v>
      </c>
      <c r="O500" s="19">
        <f t="shared" si="166"/>
        <v>0</v>
      </c>
      <c r="P500" s="19">
        <f t="shared" si="167"/>
        <v>0</v>
      </c>
      <c r="Q500" s="19">
        <f t="shared" si="168"/>
        <v>0</v>
      </c>
      <c r="R500" s="52"/>
    </row>
    <row r="501" spans="2:19" x14ac:dyDescent="0.25">
      <c r="B501" s="51" t="str">
        <f>IF(F501&lt;&gt;"",1+MAX($B$22:B500),"")</f>
        <v/>
      </c>
      <c r="C501" s="75"/>
      <c r="D501" s="10"/>
      <c r="E501" s="25"/>
      <c r="F501" s="41"/>
      <c r="G501" s="19"/>
      <c r="H501" s="19">
        <f t="shared" si="162"/>
        <v>0</v>
      </c>
      <c r="I501" s="19">
        <f t="shared" si="163"/>
        <v>0</v>
      </c>
      <c r="J501" s="17"/>
      <c r="K501" s="12">
        <f t="shared" si="164"/>
        <v>0</v>
      </c>
      <c r="L501" s="12"/>
      <c r="M501" s="19"/>
      <c r="N501" s="19">
        <f t="shared" si="165"/>
        <v>0</v>
      </c>
      <c r="O501" s="19">
        <f t="shared" si="166"/>
        <v>0</v>
      </c>
      <c r="P501" s="19">
        <f t="shared" si="167"/>
        <v>0</v>
      </c>
      <c r="Q501" s="19">
        <f t="shared" si="168"/>
        <v>0</v>
      </c>
      <c r="R501" s="52"/>
    </row>
    <row r="502" spans="2:19" x14ac:dyDescent="0.25">
      <c r="B502" s="70" t="str">
        <f>IF(F502&lt;&gt;"",1+MAX($B$22:B501),"")</f>
        <v/>
      </c>
      <c r="C502" s="82"/>
      <c r="D502" s="72" t="s">
        <v>473</v>
      </c>
      <c r="E502" s="25"/>
      <c r="F502" s="41"/>
      <c r="G502" s="19"/>
      <c r="H502" s="19">
        <f t="shared" si="162"/>
        <v>0</v>
      </c>
      <c r="I502" s="19">
        <f t="shared" si="163"/>
        <v>0</v>
      </c>
      <c r="J502" s="17"/>
      <c r="K502" s="12">
        <f t="shared" si="164"/>
        <v>0</v>
      </c>
      <c r="L502" s="12"/>
      <c r="M502" s="19"/>
      <c r="N502" s="19">
        <f t="shared" si="165"/>
        <v>0</v>
      </c>
      <c r="O502" s="19">
        <f t="shared" si="166"/>
        <v>0</v>
      </c>
      <c r="P502" s="19">
        <f t="shared" si="167"/>
        <v>0</v>
      </c>
      <c r="Q502" s="19">
        <f t="shared" si="168"/>
        <v>0</v>
      </c>
      <c r="R502" s="52"/>
    </row>
    <row r="503" spans="2:19" ht="124.2" x14ac:dyDescent="0.25">
      <c r="B503" s="51">
        <f>IF(F503&lt;&gt;"",1+MAX($B$22:B502),"")</f>
        <v>294</v>
      </c>
      <c r="C503" s="132" t="s">
        <v>474</v>
      </c>
      <c r="D503" s="10" t="s">
        <v>475</v>
      </c>
      <c r="E503" s="25" t="s">
        <v>90</v>
      </c>
      <c r="F503" s="41">
        <f>1</f>
        <v>1</v>
      </c>
      <c r="G503" s="94"/>
      <c r="H503" s="19">
        <v>60</v>
      </c>
      <c r="I503" s="19">
        <f t="shared" si="163"/>
        <v>60</v>
      </c>
      <c r="J503" s="17">
        <v>0.8</v>
      </c>
      <c r="K503" s="12">
        <f t="shared" ref="K503" si="176">F503*J503</f>
        <v>0.8</v>
      </c>
      <c r="L503" s="97" t="s">
        <v>629</v>
      </c>
      <c r="M503" s="98">
        <v>53.15</v>
      </c>
      <c r="N503" s="19">
        <f t="shared" si="165"/>
        <v>44.220799999999997</v>
      </c>
      <c r="O503" s="19">
        <f t="shared" si="166"/>
        <v>35.376640000000002</v>
      </c>
      <c r="P503" s="19">
        <f t="shared" si="167"/>
        <v>35.376640000000002</v>
      </c>
      <c r="Q503" s="19">
        <f t="shared" si="168"/>
        <v>95.376640000000009</v>
      </c>
      <c r="R503" s="52"/>
    </row>
    <row r="504" spans="2:19" ht="96.6" x14ac:dyDescent="0.25">
      <c r="B504" s="51">
        <f>IF(F504&lt;&gt;"",1+MAX($B$22:B503),"")</f>
        <v>295</v>
      </c>
      <c r="C504" s="132"/>
      <c r="D504" s="10" t="s">
        <v>476</v>
      </c>
      <c r="E504" s="25" t="s">
        <v>90</v>
      </c>
      <c r="F504" s="41">
        <f>1</f>
        <v>1</v>
      </c>
      <c r="G504" s="94"/>
      <c r="H504" s="19">
        <v>9.64</v>
      </c>
      <c r="I504" s="19">
        <f t="shared" si="163"/>
        <v>9.64</v>
      </c>
      <c r="J504" s="17">
        <v>0.125</v>
      </c>
      <c r="K504" s="12">
        <f t="shared" ref="K504" si="177">F504*J504</f>
        <v>0.125</v>
      </c>
      <c r="L504" s="97" t="s">
        <v>629</v>
      </c>
      <c r="M504" s="98">
        <v>53.15</v>
      </c>
      <c r="N504" s="19">
        <f t="shared" si="165"/>
        <v>44.220799999999997</v>
      </c>
      <c r="O504" s="19">
        <f t="shared" si="166"/>
        <v>5.5275999999999996</v>
      </c>
      <c r="P504" s="19">
        <f t="shared" si="167"/>
        <v>5.5275999999999996</v>
      </c>
      <c r="Q504" s="19">
        <f t="shared" si="168"/>
        <v>15.1676</v>
      </c>
      <c r="R504" s="52"/>
    </row>
    <row r="505" spans="2:19" ht="96.6" x14ac:dyDescent="0.25">
      <c r="B505" s="51">
        <f>IF(F505&lt;&gt;"",1+MAX($B$22:B504),"")</f>
        <v>296</v>
      </c>
      <c r="C505" s="132"/>
      <c r="D505" s="10" t="s">
        <v>477</v>
      </c>
      <c r="E505" s="25" t="s">
        <v>90</v>
      </c>
      <c r="F505" s="41">
        <f>1</f>
        <v>1</v>
      </c>
      <c r="G505" s="94"/>
      <c r="H505" s="19">
        <v>29</v>
      </c>
      <c r="I505" s="19">
        <f t="shared" si="163"/>
        <v>29</v>
      </c>
      <c r="J505" s="17">
        <v>0.33300000000000002</v>
      </c>
      <c r="K505" s="12">
        <f t="shared" ref="K505" si="178">F505*J505</f>
        <v>0.33300000000000002</v>
      </c>
      <c r="L505" s="97" t="s">
        <v>629</v>
      </c>
      <c r="M505" s="98">
        <v>53.15</v>
      </c>
      <c r="N505" s="19">
        <f t="shared" si="165"/>
        <v>44.220799999999997</v>
      </c>
      <c r="O505" s="19">
        <f t="shared" si="166"/>
        <v>14.7255264</v>
      </c>
      <c r="P505" s="19">
        <f t="shared" si="167"/>
        <v>14.7255264</v>
      </c>
      <c r="Q505" s="19">
        <f t="shared" si="168"/>
        <v>43.7255264</v>
      </c>
      <c r="R505" s="52"/>
    </row>
    <row r="506" spans="2:19" x14ac:dyDescent="0.25">
      <c r="B506" s="51"/>
      <c r="C506" s="55"/>
      <c r="D506" s="10"/>
      <c r="E506" s="25"/>
      <c r="F506" s="41"/>
      <c r="G506" s="19"/>
      <c r="H506" s="19">
        <f t="shared" si="162"/>
        <v>0</v>
      </c>
      <c r="I506" s="19">
        <f t="shared" si="163"/>
        <v>0</v>
      </c>
      <c r="J506" s="17"/>
      <c r="K506" s="12">
        <f t="shared" si="164"/>
        <v>0</v>
      </c>
      <c r="L506" s="12"/>
      <c r="M506" s="19"/>
      <c r="N506" s="19">
        <f t="shared" si="165"/>
        <v>0</v>
      </c>
      <c r="O506" s="19">
        <f t="shared" si="166"/>
        <v>0</v>
      </c>
      <c r="P506" s="19">
        <f t="shared" si="167"/>
        <v>0</v>
      </c>
      <c r="Q506" s="19">
        <f t="shared" si="168"/>
        <v>0</v>
      </c>
      <c r="R506" s="52"/>
    </row>
    <row r="507" spans="2:19" x14ac:dyDescent="0.25">
      <c r="B507" s="70" t="str">
        <f>IF(F507&lt;&gt;"",1+MAX($B$22:B505),"")</f>
        <v/>
      </c>
      <c r="C507" s="71"/>
      <c r="D507" s="72" t="s">
        <v>600</v>
      </c>
      <c r="E507" s="25"/>
      <c r="F507" s="41"/>
      <c r="G507" s="19"/>
      <c r="H507" s="19">
        <f t="shared" si="162"/>
        <v>0</v>
      </c>
      <c r="I507" s="19">
        <f t="shared" si="163"/>
        <v>0</v>
      </c>
      <c r="J507" s="17"/>
      <c r="K507" s="12">
        <f t="shared" si="164"/>
        <v>0</v>
      </c>
      <c r="L507" s="12"/>
      <c r="M507" s="19"/>
      <c r="N507" s="19">
        <f t="shared" si="165"/>
        <v>0</v>
      </c>
      <c r="O507" s="19">
        <f t="shared" si="166"/>
        <v>0</v>
      </c>
      <c r="P507" s="19">
        <f t="shared" si="167"/>
        <v>0</v>
      </c>
      <c r="Q507" s="19">
        <f t="shared" si="168"/>
        <v>0</v>
      </c>
      <c r="R507" s="52"/>
    </row>
    <row r="508" spans="2:19" ht="124.2" x14ac:dyDescent="0.25">
      <c r="B508" s="51">
        <f>IF(F508&lt;&gt;"",1+MAX($B$22:B507),"")</f>
        <v>297</v>
      </c>
      <c r="C508" s="55"/>
      <c r="D508" s="10" t="s">
        <v>601</v>
      </c>
      <c r="E508" s="25" t="s">
        <v>90</v>
      </c>
      <c r="F508" s="41">
        <v>2</v>
      </c>
      <c r="G508" s="94"/>
      <c r="H508" s="19">
        <v>77</v>
      </c>
      <c r="I508" s="19">
        <f t="shared" si="163"/>
        <v>154</v>
      </c>
      <c r="J508" s="17">
        <v>0.32500000000000001</v>
      </c>
      <c r="K508" s="12">
        <f t="shared" si="164"/>
        <v>0.65</v>
      </c>
      <c r="L508" s="12" t="s">
        <v>624</v>
      </c>
      <c r="M508" s="19">
        <v>42.1</v>
      </c>
      <c r="N508" s="19">
        <f t="shared" si="165"/>
        <v>35.027200000000001</v>
      </c>
      <c r="O508" s="19">
        <f t="shared" si="166"/>
        <v>11.383840000000001</v>
      </c>
      <c r="P508" s="19">
        <f t="shared" si="167"/>
        <v>22.767680000000002</v>
      </c>
      <c r="Q508" s="19">
        <f t="shared" si="168"/>
        <v>176.76768000000001</v>
      </c>
      <c r="R508" s="52"/>
    </row>
    <row r="509" spans="2:19" ht="96.6" x14ac:dyDescent="0.25">
      <c r="B509" s="51">
        <f>IF(F509&lt;&gt;"",1+MAX($B$22:B508),"")</f>
        <v>298</v>
      </c>
      <c r="C509" s="55"/>
      <c r="D509" s="10" t="s">
        <v>602</v>
      </c>
      <c r="E509" s="25" t="s">
        <v>90</v>
      </c>
      <c r="F509" s="41">
        <v>2</v>
      </c>
      <c r="G509" s="94"/>
      <c r="H509" s="19">
        <v>55</v>
      </c>
      <c r="I509" s="19">
        <f t="shared" si="163"/>
        <v>110</v>
      </c>
      <c r="J509" s="17">
        <v>0.32500000000000001</v>
      </c>
      <c r="K509" s="12">
        <f t="shared" si="164"/>
        <v>0.65</v>
      </c>
      <c r="L509" s="12" t="s">
        <v>624</v>
      </c>
      <c r="M509" s="19">
        <v>42.1</v>
      </c>
      <c r="N509" s="19">
        <f t="shared" si="165"/>
        <v>35.027200000000001</v>
      </c>
      <c r="O509" s="19">
        <f t="shared" si="166"/>
        <v>11.383840000000001</v>
      </c>
      <c r="P509" s="19">
        <f t="shared" si="167"/>
        <v>22.767680000000002</v>
      </c>
      <c r="Q509" s="19">
        <f t="shared" si="168"/>
        <v>132.76768000000001</v>
      </c>
      <c r="R509" s="52"/>
    </row>
    <row r="510" spans="2:19" x14ac:dyDescent="0.25">
      <c r="B510" s="51" t="str">
        <f>IF(F510&lt;&gt;"",1+MAX($B$22:B509),"")</f>
        <v/>
      </c>
      <c r="C510" s="55"/>
      <c r="D510" s="10"/>
      <c r="E510" s="25"/>
      <c r="F510" s="41"/>
      <c r="G510" s="19"/>
      <c r="H510" s="19">
        <f t="shared" si="162"/>
        <v>0</v>
      </c>
      <c r="I510" s="19">
        <f t="shared" si="163"/>
        <v>0</v>
      </c>
      <c r="J510" s="17"/>
      <c r="K510" s="12">
        <f t="shared" si="164"/>
        <v>0</v>
      </c>
      <c r="L510" s="12"/>
      <c r="M510" s="19"/>
      <c r="N510" s="19">
        <f t="shared" si="165"/>
        <v>0</v>
      </c>
      <c r="O510" s="19">
        <f t="shared" si="166"/>
        <v>0</v>
      </c>
      <c r="P510" s="19">
        <f t="shared" si="167"/>
        <v>0</v>
      </c>
      <c r="Q510" s="19">
        <f t="shared" si="168"/>
        <v>0</v>
      </c>
      <c r="R510" s="52"/>
    </row>
    <row r="511" spans="2:19" s="14" customFormat="1" ht="12.75" customHeight="1" x14ac:dyDescent="0.25">
      <c r="B511" s="15" t="str">
        <f>IF(F511&lt;&gt;"",1+MAX($B$22:B510),"")</f>
        <v/>
      </c>
      <c r="C511" s="15" t="s">
        <v>54</v>
      </c>
      <c r="D511" s="8" t="s">
        <v>201</v>
      </c>
      <c r="E511" s="130" t="s">
        <v>69</v>
      </c>
      <c r="F511" s="130"/>
      <c r="G511" s="130"/>
      <c r="H511" s="54">
        <f>SUM(I512:I525)</f>
        <v>32379.15364</v>
      </c>
      <c r="I511" s="9">
        <f t="shared" ref="I511:I525" si="179">F511*H511</f>
        <v>0</v>
      </c>
      <c r="J511" s="9"/>
      <c r="K511" s="131" t="s">
        <v>70</v>
      </c>
      <c r="L511" s="131"/>
      <c r="M511" s="131"/>
      <c r="N511" s="131"/>
      <c r="O511" s="54">
        <f>SUM(P512:P525)</f>
        <v>2477.8946815999998</v>
      </c>
      <c r="P511" s="9">
        <f t="shared" ref="P511:P525" si="180">F511*O511</f>
        <v>0</v>
      </c>
      <c r="Q511" s="50">
        <f>SUM(Q512:Q525)</f>
        <v>34857.048321599999</v>
      </c>
      <c r="R511" s="50">
        <f>(Q511)+(H511*$Q$8)+(O511*$Q$9)+(Q511*$Q$10)+($Q$11*((Q511)+(H511*$Q$8)+(O511*$Q$9)+(Q511*$Q$10)))+(Q511*$Q$12)</f>
        <v>48419.938486411207</v>
      </c>
    </row>
    <row r="512" spans="2:19" x14ac:dyDescent="0.25">
      <c r="B512" s="51" t="str">
        <f>IF(F512&lt;&gt;"",1+MAX($B$22:B511),"")</f>
        <v/>
      </c>
      <c r="C512" s="55"/>
      <c r="D512" s="10"/>
      <c r="E512" s="25"/>
      <c r="F512" s="41"/>
      <c r="G512" s="19"/>
      <c r="H512" s="19">
        <f t="shared" ref="H512:H525" si="181">G512*$T$2</f>
        <v>0</v>
      </c>
      <c r="I512" s="19">
        <f t="shared" si="179"/>
        <v>0</v>
      </c>
      <c r="J512" s="17"/>
      <c r="K512" s="12">
        <f t="shared" ref="K512:K525" si="182">F512*J512</f>
        <v>0</v>
      </c>
      <c r="L512" s="12"/>
      <c r="M512" s="19"/>
      <c r="N512" s="19">
        <f t="shared" ref="N512:N525" si="183">M512*$U$2</f>
        <v>0</v>
      </c>
      <c r="O512" s="19">
        <f t="shared" ref="O512:O525" si="184">J512*N512</f>
        <v>0</v>
      </c>
      <c r="P512" s="19">
        <f t="shared" si="180"/>
        <v>0</v>
      </c>
      <c r="Q512" s="19">
        <f t="shared" ref="Q512:Q525" si="185">I512+P512</f>
        <v>0</v>
      </c>
      <c r="R512" s="52"/>
      <c r="S512" s="14"/>
    </row>
    <row r="513" spans="2:19" x14ac:dyDescent="0.25">
      <c r="B513" s="70" t="str">
        <f>IF(F513&lt;&gt;"",1+MAX($B$22:B512),"")</f>
        <v/>
      </c>
      <c r="C513" s="71"/>
      <c r="D513" s="72" t="s">
        <v>202</v>
      </c>
      <c r="E513" s="25"/>
      <c r="F513" s="41"/>
      <c r="G513" s="19"/>
      <c r="H513" s="19">
        <f t="shared" si="181"/>
        <v>0</v>
      </c>
      <c r="I513" s="19">
        <f t="shared" si="179"/>
        <v>0</v>
      </c>
      <c r="J513" s="17"/>
      <c r="K513" s="12">
        <f t="shared" si="182"/>
        <v>0</v>
      </c>
      <c r="L513" s="12"/>
      <c r="M513" s="19"/>
      <c r="N513" s="19">
        <f t="shared" si="183"/>
        <v>0</v>
      </c>
      <c r="O513" s="19">
        <f t="shared" si="184"/>
        <v>0</v>
      </c>
      <c r="P513" s="19">
        <f t="shared" si="180"/>
        <v>0</v>
      </c>
      <c r="Q513" s="19">
        <f t="shared" si="185"/>
        <v>0</v>
      </c>
      <c r="R513" s="52"/>
    </row>
    <row r="514" spans="2:19" ht="82.8" x14ac:dyDescent="0.25">
      <c r="B514" s="51">
        <f>IF(F514&lt;&gt;"",1+MAX($B$22:B513),"")</f>
        <v>299</v>
      </c>
      <c r="C514" s="132" t="s">
        <v>478</v>
      </c>
      <c r="D514" s="10" t="s">
        <v>479</v>
      </c>
      <c r="E514" s="25" t="s">
        <v>90</v>
      </c>
      <c r="F514" s="41">
        <f>1</f>
        <v>1</v>
      </c>
      <c r="G514" s="94"/>
      <c r="H514" s="19">
        <v>2999</v>
      </c>
      <c r="I514" s="19">
        <f t="shared" si="179"/>
        <v>2999</v>
      </c>
      <c r="J514" s="17">
        <v>2.2930000000000001</v>
      </c>
      <c r="K514" s="12">
        <f t="shared" si="182"/>
        <v>2.2930000000000001</v>
      </c>
      <c r="L514" s="97" t="s">
        <v>648</v>
      </c>
      <c r="M514" s="98">
        <v>58</v>
      </c>
      <c r="N514" s="19">
        <f t="shared" si="183"/>
        <v>48.256</v>
      </c>
      <c r="O514" s="19">
        <f t="shared" si="184"/>
        <v>110.651008</v>
      </c>
      <c r="P514" s="19">
        <f t="shared" si="180"/>
        <v>110.651008</v>
      </c>
      <c r="Q514" s="19">
        <f t="shared" si="185"/>
        <v>3109.6510079999998</v>
      </c>
      <c r="R514" s="52"/>
    </row>
    <row r="515" spans="2:19" ht="96.6" x14ac:dyDescent="0.25">
      <c r="B515" s="51">
        <f>IF(F515&lt;&gt;"",1+MAX($B$22:B514),"")</f>
        <v>300</v>
      </c>
      <c r="C515" s="132"/>
      <c r="D515" s="10" t="s">
        <v>480</v>
      </c>
      <c r="E515" s="25" t="s">
        <v>90</v>
      </c>
      <c r="F515" s="41">
        <f>1</f>
        <v>1</v>
      </c>
      <c r="G515" s="94"/>
      <c r="H515" s="19">
        <v>2699</v>
      </c>
      <c r="I515" s="19">
        <f t="shared" si="179"/>
        <v>2699</v>
      </c>
      <c r="J515" s="17">
        <v>2.2930000000000001</v>
      </c>
      <c r="K515" s="12">
        <f t="shared" ref="K515" si="186">F515*J515</f>
        <v>2.2930000000000001</v>
      </c>
      <c r="L515" s="97" t="s">
        <v>648</v>
      </c>
      <c r="M515" s="98">
        <v>58</v>
      </c>
      <c r="N515" s="19">
        <f t="shared" si="183"/>
        <v>48.256</v>
      </c>
      <c r="O515" s="19">
        <f t="shared" ref="O515" si="187">J515*N515</f>
        <v>110.651008</v>
      </c>
      <c r="P515" s="19">
        <f t="shared" ref="P515" si="188">F515*O515</f>
        <v>110.651008</v>
      </c>
      <c r="Q515" s="19">
        <f t="shared" si="185"/>
        <v>2809.6510079999998</v>
      </c>
      <c r="R515" s="52"/>
    </row>
    <row r="516" spans="2:19" ht="82.8" x14ac:dyDescent="0.25">
      <c r="B516" s="51">
        <f>IF(F516&lt;&gt;"",1+MAX($B$22:B515),"")</f>
        <v>301</v>
      </c>
      <c r="C516" s="132"/>
      <c r="D516" s="10" t="s">
        <v>481</v>
      </c>
      <c r="E516" s="25" t="s">
        <v>90</v>
      </c>
      <c r="F516" s="41">
        <f>1</f>
        <v>1</v>
      </c>
      <c r="G516" s="94"/>
      <c r="H516" s="19">
        <v>649</v>
      </c>
      <c r="I516" s="19">
        <f t="shared" si="179"/>
        <v>649</v>
      </c>
      <c r="J516" s="17">
        <v>2</v>
      </c>
      <c r="K516" s="12">
        <f t="shared" ref="K516" si="189">F516*J516</f>
        <v>2</v>
      </c>
      <c r="L516" s="97" t="s">
        <v>648</v>
      </c>
      <c r="M516" s="98">
        <v>58</v>
      </c>
      <c r="N516" s="19">
        <f t="shared" si="183"/>
        <v>48.256</v>
      </c>
      <c r="O516" s="19">
        <f t="shared" si="184"/>
        <v>96.512</v>
      </c>
      <c r="P516" s="19">
        <f t="shared" si="180"/>
        <v>96.512</v>
      </c>
      <c r="Q516" s="19">
        <f t="shared" si="185"/>
        <v>745.51199999999994</v>
      </c>
      <c r="R516" s="52"/>
    </row>
    <row r="517" spans="2:19" ht="96.6" x14ac:dyDescent="0.25">
      <c r="B517" s="51">
        <f>IF(F517&lt;&gt;"",1+MAX($B$22:B516),"")</f>
        <v>302</v>
      </c>
      <c r="C517" s="132"/>
      <c r="D517" s="10" t="s">
        <v>482</v>
      </c>
      <c r="E517" s="25" t="s">
        <v>90</v>
      </c>
      <c r="F517" s="41">
        <f>1</f>
        <v>1</v>
      </c>
      <c r="G517" s="94"/>
      <c r="H517" s="19">
        <v>6599</v>
      </c>
      <c r="I517" s="19">
        <f t="shared" si="179"/>
        <v>6599</v>
      </c>
      <c r="J517" s="17">
        <v>2.7250000000000001</v>
      </c>
      <c r="K517" s="12">
        <f t="shared" ref="K517" si="190">F517*J517</f>
        <v>2.7250000000000001</v>
      </c>
      <c r="L517" s="97" t="s">
        <v>648</v>
      </c>
      <c r="M517" s="98">
        <v>58</v>
      </c>
      <c r="N517" s="19">
        <f t="shared" si="183"/>
        <v>48.256</v>
      </c>
      <c r="O517" s="19">
        <f t="shared" si="184"/>
        <v>131.49760000000001</v>
      </c>
      <c r="P517" s="19">
        <f t="shared" si="180"/>
        <v>131.49760000000001</v>
      </c>
      <c r="Q517" s="19">
        <f t="shared" si="185"/>
        <v>6730.4975999999997</v>
      </c>
      <c r="R517" s="52"/>
    </row>
    <row r="518" spans="2:19" ht="69" x14ac:dyDescent="0.25">
      <c r="B518" s="51">
        <f>IF(F518&lt;&gt;"",1+MAX($B$22:B517),"")</f>
        <v>303</v>
      </c>
      <c r="C518" s="132"/>
      <c r="D518" s="10" t="s">
        <v>483</v>
      </c>
      <c r="E518" s="25" t="s">
        <v>90</v>
      </c>
      <c r="F518" s="41">
        <f>1</f>
        <v>1</v>
      </c>
      <c r="G518" s="94"/>
      <c r="H518" s="19">
        <v>4399</v>
      </c>
      <c r="I518" s="19">
        <f t="shared" si="179"/>
        <v>4399</v>
      </c>
      <c r="J518" s="17">
        <v>2.7250000000000001</v>
      </c>
      <c r="K518" s="12">
        <f t="shared" ref="K518" si="191">F518*J518</f>
        <v>2.7250000000000001</v>
      </c>
      <c r="L518" s="97" t="s">
        <v>648</v>
      </c>
      <c r="M518" s="98">
        <v>58</v>
      </c>
      <c r="N518" s="19">
        <f t="shared" si="183"/>
        <v>48.256</v>
      </c>
      <c r="O518" s="19">
        <f t="shared" ref="O518" si="192">J518*N518</f>
        <v>131.49760000000001</v>
      </c>
      <c r="P518" s="19">
        <f t="shared" si="180"/>
        <v>131.49760000000001</v>
      </c>
      <c r="Q518" s="19">
        <f t="shared" si="185"/>
        <v>4530.4975999999997</v>
      </c>
      <c r="R518" s="52"/>
    </row>
    <row r="519" spans="2:19" ht="82.8" x14ac:dyDescent="0.25">
      <c r="B519" s="51">
        <f>IF(F519&lt;&gt;"",1+MAX($B$22:B518),"")</f>
        <v>304</v>
      </c>
      <c r="C519" s="132"/>
      <c r="D519" s="10" t="s">
        <v>484</v>
      </c>
      <c r="E519" s="25" t="s">
        <v>90</v>
      </c>
      <c r="F519" s="41">
        <f>1</f>
        <v>1</v>
      </c>
      <c r="G519" s="94"/>
      <c r="H519" s="19">
        <v>59</v>
      </c>
      <c r="I519" s="19">
        <f t="shared" si="179"/>
        <v>59</v>
      </c>
      <c r="J519" s="17">
        <v>0.32500000000000001</v>
      </c>
      <c r="K519" s="12">
        <f t="shared" si="182"/>
        <v>0.32500000000000001</v>
      </c>
      <c r="L519" s="12" t="s">
        <v>624</v>
      </c>
      <c r="M519" s="19">
        <v>42.1</v>
      </c>
      <c r="N519" s="19">
        <f t="shared" si="183"/>
        <v>35.027200000000001</v>
      </c>
      <c r="O519" s="19">
        <f t="shared" si="184"/>
        <v>11.383840000000001</v>
      </c>
      <c r="P519" s="19">
        <f t="shared" si="180"/>
        <v>11.383840000000001</v>
      </c>
      <c r="Q519" s="19">
        <f t="shared" si="185"/>
        <v>70.383840000000006</v>
      </c>
      <c r="R519" s="52"/>
    </row>
    <row r="520" spans="2:19" ht="124.2" x14ac:dyDescent="0.25">
      <c r="B520" s="51">
        <f>IF(F520&lt;&gt;"",1+MAX($B$22:B519),"")</f>
        <v>305</v>
      </c>
      <c r="C520" s="132"/>
      <c r="D520" s="10" t="s">
        <v>485</v>
      </c>
      <c r="E520" s="25" t="s">
        <v>90</v>
      </c>
      <c r="F520" s="41">
        <f>1</f>
        <v>1</v>
      </c>
      <c r="G520" s="94"/>
      <c r="H520" s="19">
        <v>7305</v>
      </c>
      <c r="I520" s="19">
        <f t="shared" si="179"/>
        <v>7305</v>
      </c>
      <c r="J520" s="17">
        <v>5.3440000000000003</v>
      </c>
      <c r="K520" s="12">
        <f t="shared" si="182"/>
        <v>5.3440000000000003</v>
      </c>
      <c r="L520" s="97" t="s">
        <v>661</v>
      </c>
      <c r="M520" s="98">
        <v>42.1</v>
      </c>
      <c r="N520" s="19">
        <f t="shared" si="183"/>
        <v>35.027200000000001</v>
      </c>
      <c r="O520" s="19">
        <f t="shared" si="184"/>
        <v>187.18535680000002</v>
      </c>
      <c r="P520" s="19">
        <f t="shared" si="180"/>
        <v>187.18535680000002</v>
      </c>
      <c r="Q520" s="19">
        <f t="shared" si="185"/>
        <v>7492.1853567999997</v>
      </c>
      <c r="R520" s="52"/>
    </row>
    <row r="521" spans="2:19" ht="124.2" x14ac:dyDescent="0.25">
      <c r="B521" s="51">
        <f>IF(F521&lt;&gt;"",1+MAX($B$22:B520),"")</f>
        <v>306</v>
      </c>
      <c r="C521" s="132"/>
      <c r="D521" s="10" t="s">
        <v>486</v>
      </c>
      <c r="E521" s="25" t="s">
        <v>90</v>
      </c>
      <c r="F521" s="41">
        <f>2</f>
        <v>2</v>
      </c>
      <c r="G521" s="94"/>
      <c r="H521" s="19">
        <v>1299</v>
      </c>
      <c r="I521" s="19">
        <f t="shared" si="179"/>
        <v>2598</v>
      </c>
      <c r="J521" s="17">
        <v>8.0289999999999999</v>
      </c>
      <c r="K521" s="12">
        <f t="shared" si="182"/>
        <v>16.058</v>
      </c>
      <c r="L521" s="97" t="s">
        <v>662</v>
      </c>
      <c r="M521" s="98">
        <v>62.9</v>
      </c>
      <c r="N521" s="19">
        <f t="shared" si="183"/>
        <v>52.332799999999999</v>
      </c>
      <c r="O521" s="19">
        <f t="shared" si="184"/>
        <v>420.18005119999998</v>
      </c>
      <c r="P521" s="19">
        <f t="shared" si="180"/>
        <v>840.36010239999996</v>
      </c>
      <c r="Q521" s="19">
        <f t="shared" si="185"/>
        <v>3438.3601024</v>
      </c>
      <c r="R521" s="52"/>
    </row>
    <row r="522" spans="2:19" ht="82.8" x14ac:dyDescent="0.25">
      <c r="B522" s="51">
        <f>IF(F522&lt;&gt;"",1+MAX($B$22:B521),"")</f>
        <v>307</v>
      </c>
      <c r="C522" s="132"/>
      <c r="D522" s="10" t="s">
        <v>487</v>
      </c>
      <c r="E522" s="25" t="s">
        <v>90</v>
      </c>
      <c r="F522" s="41">
        <f>2</f>
        <v>2</v>
      </c>
      <c r="G522" s="19">
        <v>1671.49</v>
      </c>
      <c r="H522" s="19">
        <f t="shared" si="181"/>
        <v>1701.57682</v>
      </c>
      <c r="I522" s="19">
        <f t="shared" si="179"/>
        <v>3403.15364</v>
      </c>
      <c r="J522" s="17">
        <v>3.2069999999999999</v>
      </c>
      <c r="K522" s="12">
        <f t="shared" si="182"/>
        <v>6.4139999999999997</v>
      </c>
      <c r="L522" s="97" t="s">
        <v>649</v>
      </c>
      <c r="M522" s="98">
        <v>64.45</v>
      </c>
      <c r="N522" s="19">
        <f t="shared" si="183"/>
        <v>53.622399999999999</v>
      </c>
      <c r="O522" s="19">
        <f t="shared" si="184"/>
        <v>171.96703679999999</v>
      </c>
      <c r="P522" s="19">
        <f t="shared" si="180"/>
        <v>343.93407359999998</v>
      </c>
      <c r="Q522" s="19">
        <f t="shared" si="185"/>
        <v>3747.0877135999999</v>
      </c>
      <c r="R522" s="52"/>
    </row>
    <row r="523" spans="2:19" ht="96.6" x14ac:dyDescent="0.25">
      <c r="B523" s="51">
        <f>IF(F523&lt;&gt;"",1+MAX($B$22:B522),"")</f>
        <v>308</v>
      </c>
      <c r="C523" s="132"/>
      <c r="D523" s="10" t="s">
        <v>488</v>
      </c>
      <c r="E523" s="25" t="s">
        <v>90</v>
      </c>
      <c r="F523" s="41">
        <f>1</f>
        <v>1</v>
      </c>
      <c r="G523" s="94"/>
      <c r="H523" s="19">
        <v>1419</v>
      </c>
      <c r="I523" s="19">
        <f t="shared" si="179"/>
        <v>1419</v>
      </c>
      <c r="J523" s="17">
        <v>4.9130000000000003</v>
      </c>
      <c r="K523" s="12">
        <f t="shared" si="182"/>
        <v>4.9130000000000003</v>
      </c>
      <c r="L523" s="97" t="s">
        <v>663</v>
      </c>
      <c r="M523" s="98">
        <v>62.9</v>
      </c>
      <c r="N523" s="19">
        <f t="shared" si="183"/>
        <v>52.332799999999999</v>
      </c>
      <c r="O523" s="19">
        <f t="shared" si="184"/>
        <v>257.11104640000002</v>
      </c>
      <c r="P523" s="19">
        <f t="shared" si="180"/>
        <v>257.11104640000002</v>
      </c>
      <c r="Q523" s="19">
        <f t="shared" si="185"/>
        <v>1676.1110464000001</v>
      </c>
      <c r="R523" s="52"/>
    </row>
    <row r="524" spans="2:19" ht="82.8" x14ac:dyDescent="0.25">
      <c r="B524" s="51">
        <f>IF(F524&lt;&gt;"",1+MAX($B$22:B523),"")</f>
        <v>309</v>
      </c>
      <c r="C524" s="132"/>
      <c r="D524" s="10" t="s">
        <v>489</v>
      </c>
      <c r="E524" s="25" t="s">
        <v>90</v>
      </c>
      <c r="F524" s="41">
        <f>1</f>
        <v>1</v>
      </c>
      <c r="G524" s="94"/>
      <c r="H524" s="19">
        <v>250</v>
      </c>
      <c r="I524" s="19">
        <f t="shared" si="179"/>
        <v>250</v>
      </c>
      <c r="J524" s="17">
        <v>4.9130000000000003</v>
      </c>
      <c r="K524" s="12">
        <f t="shared" si="182"/>
        <v>4.9130000000000003</v>
      </c>
      <c r="L524" s="97" t="s">
        <v>663</v>
      </c>
      <c r="M524" s="98">
        <v>62.9</v>
      </c>
      <c r="N524" s="19">
        <f t="shared" si="183"/>
        <v>52.332799999999999</v>
      </c>
      <c r="O524" s="19">
        <f t="shared" si="184"/>
        <v>257.11104640000002</v>
      </c>
      <c r="P524" s="19">
        <f t="shared" si="180"/>
        <v>257.11104640000002</v>
      </c>
      <c r="Q524" s="19">
        <f t="shared" si="185"/>
        <v>507.11104640000002</v>
      </c>
      <c r="R524" s="52"/>
    </row>
    <row r="525" spans="2:19" x14ac:dyDescent="0.25">
      <c r="B525" s="51" t="str">
        <f>IF(F525&lt;&gt;"",1+MAX($B$22:B524),"")</f>
        <v/>
      </c>
      <c r="C525" s="55"/>
      <c r="D525" s="10"/>
      <c r="E525" s="25"/>
      <c r="F525" s="41"/>
      <c r="G525" s="19"/>
      <c r="H525" s="19">
        <f t="shared" si="181"/>
        <v>0</v>
      </c>
      <c r="I525" s="19">
        <f t="shared" si="179"/>
        <v>0</v>
      </c>
      <c r="J525" s="17"/>
      <c r="K525" s="12">
        <f t="shared" si="182"/>
        <v>0</v>
      </c>
      <c r="L525" s="12"/>
      <c r="M525" s="19"/>
      <c r="N525" s="19">
        <f t="shared" si="183"/>
        <v>0</v>
      </c>
      <c r="O525" s="19">
        <f t="shared" si="184"/>
        <v>0</v>
      </c>
      <c r="P525" s="19">
        <f t="shared" si="180"/>
        <v>0</v>
      </c>
      <c r="Q525" s="19">
        <f t="shared" si="185"/>
        <v>0</v>
      </c>
      <c r="R525" s="52"/>
      <c r="S525" s="14"/>
    </row>
    <row r="526" spans="2:19" s="14" customFormat="1" ht="12.75" customHeight="1" x14ac:dyDescent="0.25">
      <c r="B526" s="15" t="str">
        <f>IF(F526&lt;&gt;"",1+MAX($B$22:B525),"")</f>
        <v/>
      </c>
      <c r="C526" s="15" t="s">
        <v>55</v>
      </c>
      <c r="D526" s="8" t="s">
        <v>71</v>
      </c>
      <c r="E526" s="130" t="s">
        <v>69</v>
      </c>
      <c r="F526" s="130"/>
      <c r="G526" s="130"/>
      <c r="H526" s="54">
        <f>SUM(I527:I544)</f>
        <v>13698.268862600002</v>
      </c>
      <c r="I526" s="9">
        <f t="shared" ref="I526:I544" si="193">F526*H526</f>
        <v>0</v>
      </c>
      <c r="J526" s="9"/>
      <c r="K526" s="131" t="s">
        <v>70</v>
      </c>
      <c r="L526" s="131"/>
      <c r="M526" s="131"/>
      <c r="N526" s="131"/>
      <c r="O526" s="54">
        <f>SUM(P527:P544)</f>
        <v>3590.9899091123193</v>
      </c>
      <c r="P526" s="9">
        <f t="shared" ref="P526:P544" si="194">F526*O526</f>
        <v>0</v>
      </c>
      <c r="Q526" s="50">
        <f>SUM(Q527:Q544)</f>
        <v>17289.258771712324</v>
      </c>
      <c r="R526" s="50">
        <f>(Q526)+(H526*$Q$8)+(O526*$Q$9)+(Q526*$Q$10)+($Q$11*((Q526)+(H526*$Q$8)+(O526*$Q$9)+(Q526*$Q$10)))+(Q526*$Q$12)</f>
        <v>24112.882897639407</v>
      </c>
    </row>
    <row r="527" spans="2:19" x14ac:dyDescent="0.25">
      <c r="B527" s="51" t="str">
        <f>IF(F527&lt;&gt;"",1+MAX($B$22:B526),"")</f>
        <v/>
      </c>
      <c r="C527" s="55"/>
      <c r="D527" s="10"/>
      <c r="E527" s="25"/>
      <c r="F527" s="41"/>
      <c r="G527" s="19"/>
      <c r="H527" s="19">
        <f t="shared" ref="H527:H544" si="195">G527*$T$2</f>
        <v>0</v>
      </c>
      <c r="I527" s="19">
        <f t="shared" si="193"/>
        <v>0</v>
      </c>
      <c r="J527" s="17"/>
      <c r="K527" s="12">
        <f t="shared" ref="K527:K544" si="196">F527*J527</f>
        <v>0</v>
      </c>
      <c r="L527" s="12"/>
      <c r="M527" s="19"/>
      <c r="N527" s="19">
        <f t="shared" ref="N527:N544" si="197">M527*$U$2</f>
        <v>0</v>
      </c>
      <c r="O527" s="19">
        <f t="shared" ref="O527:O544" si="198">J527*N527</f>
        <v>0</v>
      </c>
      <c r="P527" s="19">
        <f t="shared" si="194"/>
        <v>0</v>
      </c>
      <c r="Q527" s="19">
        <f t="shared" ref="Q527:Q544" si="199">I527+P527</f>
        <v>0</v>
      </c>
      <c r="R527" s="52"/>
      <c r="S527" s="14"/>
    </row>
    <row r="528" spans="2:19" x14ac:dyDescent="0.25">
      <c r="B528" s="70" t="str">
        <f>IF(F528&lt;&gt;"",1+MAX($B$22:B527),"")</f>
        <v/>
      </c>
      <c r="C528" s="71"/>
      <c r="D528" s="72" t="s">
        <v>96</v>
      </c>
      <c r="E528" s="25"/>
      <c r="F528" s="41"/>
      <c r="G528" s="19"/>
      <c r="H528" s="19">
        <f t="shared" si="195"/>
        <v>0</v>
      </c>
      <c r="I528" s="19">
        <f t="shared" si="193"/>
        <v>0</v>
      </c>
      <c r="J528" s="17"/>
      <c r="K528" s="12">
        <f t="shared" si="196"/>
        <v>0</v>
      </c>
      <c r="L528" s="12"/>
      <c r="M528" s="19"/>
      <c r="N528" s="19">
        <f t="shared" si="197"/>
        <v>0</v>
      </c>
      <c r="O528" s="19">
        <f t="shared" si="198"/>
        <v>0</v>
      </c>
      <c r="P528" s="19">
        <f t="shared" si="194"/>
        <v>0</v>
      </c>
      <c r="Q528" s="19">
        <f t="shared" si="199"/>
        <v>0</v>
      </c>
      <c r="R528" s="52"/>
    </row>
    <row r="529" spans="2:18" ht="82.8" x14ac:dyDescent="0.25">
      <c r="B529" s="51">
        <f>IF(F529&lt;&gt;"",1+MAX($B$22:B528),"")</f>
        <v>310</v>
      </c>
      <c r="C529" s="132" t="s">
        <v>446</v>
      </c>
      <c r="D529" s="10" t="s">
        <v>490</v>
      </c>
      <c r="E529" s="25" t="s">
        <v>82</v>
      </c>
      <c r="F529" s="41">
        <f>48.58</f>
        <v>48.58</v>
      </c>
      <c r="G529" s="19">
        <f>95/2</f>
        <v>47.5</v>
      </c>
      <c r="H529" s="19">
        <f t="shared" si="195"/>
        <v>48.355000000000004</v>
      </c>
      <c r="I529" s="19">
        <f t="shared" si="193"/>
        <v>2349.0859</v>
      </c>
      <c r="J529" s="17">
        <v>0.53200000000000003</v>
      </c>
      <c r="K529" s="12">
        <f t="shared" si="196"/>
        <v>25.844560000000001</v>
      </c>
      <c r="L529" s="97" t="s">
        <v>632</v>
      </c>
      <c r="M529" s="98">
        <v>53.15</v>
      </c>
      <c r="N529" s="19">
        <f t="shared" si="197"/>
        <v>44.220799999999997</v>
      </c>
      <c r="O529" s="19">
        <f t="shared" si="198"/>
        <v>23.5254656</v>
      </c>
      <c r="P529" s="19">
        <f t="shared" si="194"/>
        <v>1142.867118848</v>
      </c>
      <c r="Q529" s="19">
        <f t="shared" si="199"/>
        <v>3491.9530188480003</v>
      </c>
      <c r="R529" s="52"/>
    </row>
    <row r="530" spans="2:18" ht="69" x14ac:dyDescent="0.25">
      <c r="B530" s="51">
        <f>IF(F530&lt;&gt;"",1+MAX($B$22:B529),"")</f>
        <v>311</v>
      </c>
      <c r="C530" s="132"/>
      <c r="D530" s="10" t="s">
        <v>491</v>
      </c>
      <c r="E530" s="25" t="s">
        <v>82</v>
      </c>
      <c r="F530" s="41">
        <f>32.46+(6.34*2.83)</f>
        <v>50.402200000000001</v>
      </c>
      <c r="G530" s="19">
        <f>95/2</f>
        <v>47.5</v>
      </c>
      <c r="H530" s="19">
        <f t="shared" si="195"/>
        <v>48.355000000000004</v>
      </c>
      <c r="I530" s="19">
        <f t="shared" si="193"/>
        <v>2437.1983810000002</v>
      </c>
      <c r="J530" s="17">
        <v>0.53200000000000003</v>
      </c>
      <c r="K530" s="12">
        <f t="shared" si="196"/>
        <v>26.813970400000002</v>
      </c>
      <c r="L530" s="97" t="s">
        <v>632</v>
      </c>
      <c r="M530" s="98">
        <v>53.15</v>
      </c>
      <c r="N530" s="19">
        <f t="shared" si="197"/>
        <v>44.220799999999997</v>
      </c>
      <c r="O530" s="19">
        <f t="shared" si="198"/>
        <v>23.5254656</v>
      </c>
      <c r="P530" s="19">
        <f t="shared" si="194"/>
        <v>1185.7352222643201</v>
      </c>
      <c r="Q530" s="19">
        <f t="shared" si="199"/>
        <v>3622.9336032643205</v>
      </c>
      <c r="R530" s="52"/>
    </row>
    <row r="531" spans="2:18" ht="82.8" x14ac:dyDescent="0.25">
      <c r="B531" s="51">
        <f>IF(F531&lt;&gt;"",1+MAX($B$22:B530),"")</f>
        <v>312</v>
      </c>
      <c r="C531" s="132"/>
      <c r="D531" s="10" t="s">
        <v>492</v>
      </c>
      <c r="E531" s="25" t="s">
        <v>82</v>
      </c>
      <c r="F531" s="41">
        <f>16.8</f>
        <v>16.8</v>
      </c>
      <c r="G531" s="19">
        <v>92</v>
      </c>
      <c r="H531" s="19">
        <f t="shared" si="195"/>
        <v>93.656000000000006</v>
      </c>
      <c r="I531" s="19">
        <f t="shared" si="193"/>
        <v>1573.4208000000001</v>
      </c>
      <c r="J531" s="17">
        <v>0.28598306679209784</v>
      </c>
      <c r="K531" s="12">
        <f t="shared" si="196"/>
        <v>4.804515522107244</v>
      </c>
      <c r="L531" s="97" t="s">
        <v>629</v>
      </c>
      <c r="M531" s="98">
        <v>53.15</v>
      </c>
      <c r="N531" s="19">
        <f t="shared" si="197"/>
        <v>44.220799999999997</v>
      </c>
      <c r="O531" s="19">
        <f t="shared" si="198"/>
        <v>12.6464</v>
      </c>
      <c r="P531" s="19">
        <f t="shared" si="194"/>
        <v>212.45952</v>
      </c>
      <c r="Q531" s="19">
        <f t="shared" si="199"/>
        <v>1785.8803200000002</v>
      </c>
      <c r="R531" s="52"/>
    </row>
    <row r="532" spans="2:18" x14ac:dyDescent="0.25">
      <c r="B532" s="51" t="str">
        <f>IF(F532&lt;&gt;"",1+MAX($B$22:B531),"")</f>
        <v/>
      </c>
      <c r="C532" s="55"/>
      <c r="D532" s="10"/>
      <c r="E532" s="25"/>
      <c r="F532" s="41"/>
      <c r="G532" s="19"/>
      <c r="H532" s="19">
        <f t="shared" si="195"/>
        <v>0</v>
      </c>
      <c r="I532" s="19">
        <f t="shared" si="193"/>
        <v>0</v>
      </c>
      <c r="J532" s="17"/>
      <c r="K532" s="12">
        <f t="shared" si="196"/>
        <v>0</v>
      </c>
      <c r="L532" s="12"/>
      <c r="M532" s="19"/>
      <c r="N532" s="19">
        <f t="shared" si="197"/>
        <v>0</v>
      </c>
      <c r="O532" s="19">
        <f t="shared" si="198"/>
        <v>0</v>
      </c>
      <c r="P532" s="19">
        <f t="shared" si="194"/>
        <v>0</v>
      </c>
      <c r="Q532" s="19">
        <f t="shared" si="199"/>
        <v>0</v>
      </c>
      <c r="R532" s="52"/>
    </row>
    <row r="533" spans="2:18" x14ac:dyDescent="0.25">
      <c r="B533" s="51" t="str">
        <f>IF(F533&lt;&gt;"",1+MAX($B$22:B532),"")</f>
        <v/>
      </c>
      <c r="C533" s="75"/>
      <c r="D533" s="53" t="s">
        <v>493</v>
      </c>
      <c r="E533" s="25"/>
      <c r="F533" s="41"/>
      <c r="G533" s="19"/>
      <c r="H533" s="19">
        <f t="shared" si="195"/>
        <v>0</v>
      </c>
      <c r="I533" s="19">
        <f t="shared" si="193"/>
        <v>0</v>
      </c>
      <c r="J533" s="17"/>
      <c r="K533" s="12">
        <f t="shared" si="196"/>
        <v>0</v>
      </c>
      <c r="L533" s="12"/>
      <c r="M533" s="19"/>
      <c r="N533" s="19">
        <f t="shared" si="197"/>
        <v>0</v>
      </c>
      <c r="O533" s="19">
        <f t="shared" si="198"/>
        <v>0</v>
      </c>
      <c r="P533" s="19">
        <f t="shared" si="194"/>
        <v>0</v>
      </c>
      <c r="Q533" s="19">
        <f t="shared" si="199"/>
        <v>0</v>
      </c>
      <c r="R533" s="52"/>
    </row>
    <row r="534" spans="2:18" ht="69" x14ac:dyDescent="0.25">
      <c r="B534" s="51">
        <f>IF(F534&lt;&gt;"",1+MAX($B$22:B533),"")</f>
        <v>313</v>
      </c>
      <c r="C534" s="55" t="s">
        <v>446</v>
      </c>
      <c r="D534" s="10" t="s">
        <v>494</v>
      </c>
      <c r="E534" s="25" t="s">
        <v>90</v>
      </c>
      <c r="F534" s="41">
        <f>1</f>
        <v>1</v>
      </c>
      <c r="G534" s="19">
        <v>6410</v>
      </c>
      <c r="H534" s="19">
        <f t="shared" si="195"/>
        <v>6525.38</v>
      </c>
      <c r="I534" s="19">
        <f t="shared" si="193"/>
        <v>6525.38</v>
      </c>
      <c r="J534" s="17">
        <v>10.125</v>
      </c>
      <c r="K534" s="12">
        <f t="shared" si="196"/>
        <v>10.125</v>
      </c>
      <c r="L534" s="97" t="s">
        <v>632</v>
      </c>
      <c r="M534" s="98">
        <v>53.15</v>
      </c>
      <c r="N534" s="19">
        <f t="shared" si="197"/>
        <v>44.220799999999997</v>
      </c>
      <c r="O534" s="19">
        <f t="shared" si="198"/>
        <v>447.73559999999998</v>
      </c>
      <c r="P534" s="19">
        <f t="shared" si="194"/>
        <v>447.73559999999998</v>
      </c>
      <c r="Q534" s="19">
        <f t="shared" si="199"/>
        <v>6973.1156000000001</v>
      </c>
      <c r="R534" s="52"/>
    </row>
    <row r="535" spans="2:18" x14ac:dyDescent="0.25">
      <c r="B535" s="51" t="str">
        <f>IF(F535&lt;&gt;"",1+MAX($B$22:B534),"")</f>
        <v/>
      </c>
      <c r="C535" s="55"/>
      <c r="D535" s="10"/>
      <c r="E535" s="25"/>
      <c r="F535" s="41"/>
      <c r="G535" s="19"/>
      <c r="H535" s="19">
        <f t="shared" si="195"/>
        <v>0</v>
      </c>
      <c r="I535" s="19">
        <f t="shared" si="193"/>
        <v>0</v>
      </c>
      <c r="J535" s="17"/>
      <c r="K535" s="12">
        <f t="shared" si="196"/>
        <v>0</v>
      </c>
      <c r="L535" s="12"/>
      <c r="M535" s="19"/>
      <c r="N535" s="19">
        <f t="shared" si="197"/>
        <v>0</v>
      </c>
      <c r="O535" s="19">
        <f t="shared" si="198"/>
        <v>0</v>
      </c>
      <c r="P535" s="19">
        <f t="shared" si="194"/>
        <v>0</v>
      </c>
      <c r="Q535" s="19">
        <f t="shared" si="199"/>
        <v>0</v>
      </c>
      <c r="R535" s="52"/>
    </row>
    <row r="536" spans="2:18" x14ac:dyDescent="0.25">
      <c r="B536" s="70" t="str">
        <f>IF(F536&lt;&gt;"",1+MAX($B$22:B535),"")</f>
        <v/>
      </c>
      <c r="C536" s="71"/>
      <c r="D536" s="72" t="s">
        <v>495</v>
      </c>
      <c r="E536" s="25"/>
      <c r="F536" s="41"/>
      <c r="G536" s="19"/>
      <c r="H536" s="19">
        <f t="shared" si="195"/>
        <v>0</v>
      </c>
      <c r="I536" s="19">
        <f t="shared" si="193"/>
        <v>0</v>
      </c>
      <c r="J536" s="17"/>
      <c r="K536" s="12">
        <f t="shared" si="196"/>
        <v>0</v>
      </c>
      <c r="L536" s="12"/>
      <c r="M536" s="19"/>
      <c r="N536" s="19">
        <f t="shared" si="197"/>
        <v>0</v>
      </c>
      <c r="O536" s="19">
        <f t="shared" si="198"/>
        <v>0</v>
      </c>
      <c r="P536" s="19">
        <f t="shared" si="194"/>
        <v>0</v>
      </c>
      <c r="Q536" s="19">
        <f t="shared" si="199"/>
        <v>0</v>
      </c>
      <c r="R536" s="52"/>
    </row>
    <row r="537" spans="2:18" ht="96.6" x14ac:dyDescent="0.25">
      <c r="B537" s="51">
        <f>IF(F537&lt;&gt;"",1+MAX($B$22:B536),"")</f>
        <v>314</v>
      </c>
      <c r="C537" s="132" t="s">
        <v>446</v>
      </c>
      <c r="D537" s="10" t="s">
        <v>496</v>
      </c>
      <c r="E537" s="25" t="s">
        <v>82</v>
      </c>
      <c r="F537" s="41">
        <f>26.72</f>
        <v>26.72</v>
      </c>
      <c r="G537" s="94"/>
      <c r="H537" s="19">
        <v>9.9499999999999993</v>
      </c>
      <c r="I537" s="19">
        <f t="shared" si="193"/>
        <v>265.86399999999998</v>
      </c>
      <c r="J537" s="17">
        <v>0.14299999999999999</v>
      </c>
      <c r="K537" s="12">
        <f t="shared" si="196"/>
        <v>3.8209599999999995</v>
      </c>
      <c r="L537" s="97" t="s">
        <v>658</v>
      </c>
      <c r="M537" s="98">
        <v>49.5</v>
      </c>
      <c r="N537" s="19">
        <f t="shared" si="197"/>
        <v>41.183999999999997</v>
      </c>
      <c r="O537" s="19">
        <f t="shared" si="198"/>
        <v>5.8893119999999994</v>
      </c>
      <c r="P537" s="19">
        <f t="shared" si="194"/>
        <v>157.36241663999999</v>
      </c>
      <c r="Q537" s="19">
        <f t="shared" si="199"/>
        <v>423.22641663999997</v>
      </c>
      <c r="R537" s="52"/>
    </row>
    <row r="538" spans="2:18" ht="82.8" x14ac:dyDescent="0.25">
      <c r="B538" s="51">
        <f>IF(F538&lt;&gt;"",1+MAX($B$22:B537),"")</f>
        <v>315</v>
      </c>
      <c r="C538" s="132"/>
      <c r="D538" s="10" t="s">
        <v>314</v>
      </c>
      <c r="E538" s="25" t="s">
        <v>82</v>
      </c>
      <c r="F538" s="41">
        <f>26.72</f>
        <v>26.72</v>
      </c>
      <c r="G538" s="19">
        <v>6.5</v>
      </c>
      <c r="H538" s="19">
        <f t="shared" ref="H538:H539" si="200">G538*$T$2</f>
        <v>6.617</v>
      </c>
      <c r="I538" s="19">
        <f t="shared" si="193"/>
        <v>176.80624</v>
      </c>
      <c r="J538" s="17">
        <v>0.14299999999999999</v>
      </c>
      <c r="K538" s="12">
        <f t="shared" ref="K538:K539" si="201">F538*J538</f>
        <v>3.8209599999999995</v>
      </c>
      <c r="L538" s="97" t="s">
        <v>658</v>
      </c>
      <c r="M538" s="98">
        <v>49.5</v>
      </c>
      <c r="N538" s="19">
        <f t="shared" ref="N538:N539" si="202">M538*$U$2</f>
        <v>41.183999999999997</v>
      </c>
      <c r="O538" s="19">
        <f t="shared" si="198"/>
        <v>5.8893119999999994</v>
      </c>
      <c r="P538" s="19">
        <f t="shared" si="194"/>
        <v>157.36241663999999</v>
      </c>
      <c r="Q538" s="19">
        <f t="shared" si="199"/>
        <v>334.16865663999999</v>
      </c>
      <c r="R538" s="52"/>
    </row>
    <row r="539" spans="2:18" ht="96.6" x14ac:dyDescent="0.25">
      <c r="B539" s="51">
        <f>IF(F539&lt;&gt;"",1+MAX($B$22:B538),"")</f>
        <v>316</v>
      </c>
      <c r="C539" s="132"/>
      <c r="D539" s="10" t="s">
        <v>293</v>
      </c>
      <c r="E539" s="25" t="s">
        <v>86</v>
      </c>
      <c r="F539" s="41">
        <f>19.54</f>
        <v>19.54</v>
      </c>
      <c r="G539" s="19">
        <v>1.98</v>
      </c>
      <c r="H539" s="19">
        <f t="shared" si="200"/>
        <v>2.0156399999999999</v>
      </c>
      <c r="I539" s="19">
        <f t="shared" si="193"/>
        <v>39.385605599999998</v>
      </c>
      <c r="J539" s="17">
        <v>2.1000000000000001E-2</v>
      </c>
      <c r="K539" s="12">
        <f t="shared" si="201"/>
        <v>0.41033999999999998</v>
      </c>
      <c r="L539" s="97" t="s">
        <v>658</v>
      </c>
      <c r="M539" s="98">
        <v>49.5</v>
      </c>
      <c r="N539" s="19">
        <f t="shared" si="202"/>
        <v>41.183999999999997</v>
      </c>
      <c r="O539" s="19">
        <f t="shared" si="198"/>
        <v>0.86486399999999997</v>
      </c>
      <c r="P539" s="19">
        <f t="shared" si="194"/>
        <v>16.899442559999997</v>
      </c>
      <c r="Q539" s="19">
        <f t="shared" si="199"/>
        <v>56.285048159999995</v>
      </c>
      <c r="R539" s="52"/>
    </row>
    <row r="540" spans="2:18" ht="96.6" x14ac:dyDescent="0.25">
      <c r="B540" s="51">
        <f>IF(F540&lt;&gt;"",1+MAX($B$22:B539),"")</f>
        <v>317</v>
      </c>
      <c r="C540" s="132"/>
      <c r="D540" s="10" t="s">
        <v>497</v>
      </c>
      <c r="E540" s="25" t="s">
        <v>82</v>
      </c>
      <c r="F540" s="41">
        <f>20.69</f>
        <v>20.69</v>
      </c>
      <c r="G540" s="94"/>
      <c r="H540" s="19">
        <v>6</v>
      </c>
      <c r="I540" s="19">
        <f t="shared" si="193"/>
        <v>124.14000000000001</v>
      </c>
      <c r="J540" s="17">
        <v>0.14299999999999999</v>
      </c>
      <c r="K540" s="12">
        <f t="shared" si="196"/>
        <v>2.9586700000000001</v>
      </c>
      <c r="L540" s="97" t="s">
        <v>658</v>
      </c>
      <c r="M540" s="98">
        <v>49.5</v>
      </c>
      <c r="N540" s="19">
        <f t="shared" si="197"/>
        <v>41.183999999999997</v>
      </c>
      <c r="O540" s="19">
        <f t="shared" si="198"/>
        <v>5.8893119999999994</v>
      </c>
      <c r="P540" s="19">
        <f t="shared" si="194"/>
        <v>121.84986527999999</v>
      </c>
      <c r="Q540" s="19">
        <f t="shared" si="199"/>
        <v>245.98986528</v>
      </c>
      <c r="R540" s="52"/>
    </row>
    <row r="541" spans="2:18" ht="82.8" x14ac:dyDescent="0.25">
      <c r="B541" s="51">
        <f>IF(F541&lt;&gt;"",1+MAX($B$22:B540),"")</f>
        <v>318</v>
      </c>
      <c r="C541" s="132"/>
      <c r="D541" s="10" t="s">
        <v>312</v>
      </c>
      <c r="E541" s="25" t="s">
        <v>82</v>
      </c>
      <c r="F541" s="41">
        <f>20.69</f>
        <v>20.69</v>
      </c>
      <c r="G541" s="19">
        <v>6.5</v>
      </c>
      <c r="H541" s="19">
        <f t="shared" ref="H541" si="203">G541*$T$2</f>
        <v>6.617</v>
      </c>
      <c r="I541" s="19">
        <f t="shared" ref="I541" si="204">F541*H541</f>
        <v>136.90573000000001</v>
      </c>
      <c r="J541" s="17">
        <v>0.14299999999999999</v>
      </c>
      <c r="K541" s="12">
        <f t="shared" si="196"/>
        <v>2.9586700000000001</v>
      </c>
      <c r="L541" s="97" t="s">
        <v>658</v>
      </c>
      <c r="M541" s="98">
        <v>49.5</v>
      </c>
      <c r="N541" s="19">
        <f t="shared" si="197"/>
        <v>41.183999999999997</v>
      </c>
      <c r="O541" s="19">
        <f t="shared" si="198"/>
        <v>5.8893119999999994</v>
      </c>
      <c r="P541" s="19">
        <f t="shared" si="194"/>
        <v>121.84986527999999</v>
      </c>
      <c r="Q541" s="19">
        <f t="shared" si="199"/>
        <v>258.75559527999997</v>
      </c>
      <c r="R541" s="52"/>
    </row>
    <row r="542" spans="2:18" ht="96.6" x14ac:dyDescent="0.25">
      <c r="B542" s="51">
        <f>IF(F542&lt;&gt;"",1+MAX($B$22:B541),"")</f>
        <v>319</v>
      </c>
      <c r="C542" s="132"/>
      <c r="D542" s="10" t="s">
        <v>290</v>
      </c>
      <c r="E542" s="25" t="s">
        <v>86</v>
      </c>
      <c r="F542" s="41">
        <v>11.65</v>
      </c>
      <c r="G542" s="19">
        <v>1.98</v>
      </c>
      <c r="H542" s="19">
        <f t="shared" si="195"/>
        <v>2.0156399999999999</v>
      </c>
      <c r="I542" s="19">
        <f t="shared" si="193"/>
        <v>23.482205999999998</v>
      </c>
      <c r="J542" s="17">
        <v>2.1000000000000001E-2</v>
      </c>
      <c r="K542" s="12">
        <f t="shared" si="196"/>
        <v>0.24465000000000003</v>
      </c>
      <c r="L542" s="97" t="s">
        <v>658</v>
      </c>
      <c r="M542" s="98">
        <v>49.5</v>
      </c>
      <c r="N542" s="19">
        <f t="shared" si="197"/>
        <v>41.183999999999997</v>
      </c>
      <c r="O542" s="19">
        <f t="shared" si="198"/>
        <v>0.86486399999999997</v>
      </c>
      <c r="P542" s="19">
        <f t="shared" si="194"/>
        <v>10.075665600000001</v>
      </c>
      <c r="Q542" s="19">
        <f t="shared" si="199"/>
        <v>33.557871599999999</v>
      </c>
      <c r="R542" s="52"/>
    </row>
    <row r="543" spans="2:18" ht="96.6" x14ac:dyDescent="0.25">
      <c r="B543" s="51">
        <f>IF(F543&lt;&gt;"",1+MAX($B$22:B542),"")</f>
        <v>320</v>
      </c>
      <c r="C543" s="132"/>
      <c r="D543" s="10" t="s">
        <v>498</v>
      </c>
      <c r="E543" s="25" t="s">
        <v>86</v>
      </c>
      <c r="F543" s="41">
        <v>11.65</v>
      </c>
      <c r="G543" s="94"/>
      <c r="H543" s="19">
        <v>4</v>
      </c>
      <c r="I543" s="19">
        <f t="shared" si="193"/>
        <v>46.6</v>
      </c>
      <c r="J543" s="17">
        <v>3.5000000000000003E-2</v>
      </c>
      <c r="K543" s="12">
        <f t="shared" si="196"/>
        <v>0.40775000000000006</v>
      </c>
      <c r="L543" s="97" t="s">
        <v>658</v>
      </c>
      <c r="M543" s="98">
        <v>49.5</v>
      </c>
      <c r="N543" s="19">
        <f t="shared" si="197"/>
        <v>41.183999999999997</v>
      </c>
      <c r="O543" s="19">
        <f t="shared" si="198"/>
        <v>1.4414400000000001</v>
      </c>
      <c r="P543" s="19">
        <f t="shared" si="194"/>
        <v>16.792776</v>
      </c>
      <c r="Q543" s="19">
        <f t="shared" si="199"/>
        <v>63.392775999999998</v>
      </c>
      <c r="R543" s="52"/>
    </row>
    <row r="544" spans="2:18" x14ac:dyDescent="0.25">
      <c r="B544" s="51" t="str">
        <f>IF(F544&lt;&gt;"",1+MAX($B$22:B543),"")</f>
        <v/>
      </c>
      <c r="C544" s="55"/>
      <c r="D544" s="10"/>
      <c r="E544" s="25"/>
      <c r="F544" s="41"/>
      <c r="G544" s="19"/>
      <c r="H544" s="19">
        <f t="shared" si="195"/>
        <v>0</v>
      </c>
      <c r="I544" s="19">
        <f t="shared" si="193"/>
        <v>0</v>
      </c>
      <c r="J544" s="17"/>
      <c r="K544" s="12">
        <f t="shared" si="196"/>
        <v>0</v>
      </c>
      <c r="L544" s="12"/>
      <c r="M544" s="19"/>
      <c r="N544" s="19">
        <f t="shared" si="197"/>
        <v>0</v>
      </c>
      <c r="O544" s="19">
        <f t="shared" si="198"/>
        <v>0</v>
      </c>
      <c r="P544" s="19">
        <f t="shared" si="194"/>
        <v>0</v>
      </c>
      <c r="Q544" s="19">
        <f t="shared" si="199"/>
        <v>0</v>
      </c>
      <c r="R544" s="52"/>
    </row>
    <row r="545" spans="2:19" s="14" customFormat="1" ht="12.75" customHeight="1" x14ac:dyDescent="0.25">
      <c r="B545" s="15" t="str">
        <f>IF(F545&lt;&gt;"",1+MAX($B$22:B544),"")</f>
        <v/>
      </c>
      <c r="C545" s="15" t="s">
        <v>56</v>
      </c>
      <c r="D545" s="8" t="s">
        <v>24</v>
      </c>
      <c r="E545" s="130" t="s">
        <v>69</v>
      </c>
      <c r="F545" s="130"/>
      <c r="G545" s="130"/>
      <c r="H545" s="54">
        <f>SUM(I546:I549)</f>
        <v>59553</v>
      </c>
      <c r="I545" s="9">
        <f t="shared" ref="I545:I700" si="205">F545*H545</f>
        <v>0</v>
      </c>
      <c r="J545" s="9"/>
      <c r="K545" s="131" t="s">
        <v>70</v>
      </c>
      <c r="L545" s="131"/>
      <c r="M545" s="131"/>
      <c r="N545" s="131"/>
      <c r="O545" s="54">
        <f>SUM(P546:P549)</f>
        <v>40215.343999999997</v>
      </c>
      <c r="P545" s="9">
        <f t="shared" ref="P545:P700" si="206">F545*O545</f>
        <v>0</v>
      </c>
      <c r="Q545" s="50">
        <f>SUM(Q546:Q549)</f>
        <v>99768.343999999997</v>
      </c>
      <c r="R545" s="50">
        <f>(Q545)+(H545*$Q$8)+(O545*$Q$9)+(Q545*$Q$10)+($Q$11*((Q545)+(H545*$Q$8)+(O545*$Q$9)+(Q545*$Q$10)))+(Q545*$Q$12)</f>
        <v>139939.66448799998</v>
      </c>
    </row>
    <row r="546" spans="2:19" x14ac:dyDescent="0.25">
      <c r="B546" s="51" t="str">
        <f>IF(F546&lt;&gt;"",1+MAX($B$22:B545),"")</f>
        <v/>
      </c>
      <c r="C546" s="55"/>
      <c r="D546" s="10"/>
      <c r="E546" s="25"/>
      <c r="F546" s="41"/>
      <c r="G546" s="19"/>
      <c r="H546" s="19">
        <f t="shared" ref="H546:H549" si="207">G546*$T$2</f>
        <v>0</v>
      </c>
      <c r="I546" s="19">
        <f t="shared" si="205"/>
        <v>0</v>
      </c>
      <c r="J546" s="17"/>
      <c r="K546" s="12">
        <f t="shared" ref="K546:K549" si="208">F546*J546</f>
        <v>0</v>
      </c>
      <c r="L546" s="12"/>
      <c r="M546" s="19"/>
      <c r="N546" s="19">
        <f t="shared" ref="N546:N549" si="209">M546*$U$2</f>
        <v>0</v>
      </c>
      <c r="O546" s="19">
        <f t="shared" ref="O546:O549" si="210">J546*N546</f>
        <v>0</v>
      </c>
      <c r="P546" s="19">
        <f t="shared" si="206"/>
        <v>0</v>
      </c>
      <c r="Q546" s="19">
        <f t="shared" ref="Q546:Q549" si="211">I546+P546</f>
        <v>0</v>
      </c>
      <c r="R546" s="52"/>
      <c r="S546" s="14"/>
    </row>
    <row r="547" spans="2:19" x14ac:dyDescent="0.25">
      <c r="B547" s="70" t="str">
        <f>IF(F547&lt;&gt;"",1+MAX($B$22:B546),"")</f>
        <v/>
      </c>
      <c r="C547" s="71"/>
      <c r="D547" s="72" t="s">
        <v>97</v>
      </c>
      <c r="E547" s="25"/>
      <c r="F547" s="41"/>
      <c r="G547" s="19"/>
      <c r="H547" s="19">
        <f t="shared" si="207"/>
        <v>0</v>
      </c>
      <c r="I547" s="19">
        <f t="shared" si="205"/>
        <v>0</v>
      </c>
      <c r="J547" s="17"/>
      <c r="K547" s="12">
        <f t="shared" si="208"/>
        <v>0</v>
      </c>
      <c r="L547" s="12"/>
      <c r="M547" s="19"/>
      <c r="N547" s="19">
        <f t="shared" si="209"/>
        <v>0</v>
      </c>
      <c r="O547" s="19">
        <f t="shared" si="210"/>
        <v>0</v>
      </c>
      <c r="P547" s="19">
        <f t="shared" si="206"/>
        <v>0</v>
      </c>
      <c r="Q547" s="19">
        <f t="shared" si="211"/>
        <v>0</v>
      </c>
      <c r="R547" s="52"/>
    </row>
    <row r="548" spans="2:19" ht="27.6" x14ac:dyDescent="0.25">
      <c r="B548" s="51">
        <f>IF(F548&lt;&gt;"",1+MAX($B$22:B547),"")</f>
        <v>321</v>
      </c>
      <c r="C548" s="55" t="s">
        <v>446</v>
      </c>
      <c r="D548" s="10" t="s">
        <v>603</v>
      </c>
      <c r="E548" s="25" t="s">
        <v>90</v>
      </c>
      <c r="F548" s="41">
        <f>1</f>
        <v>1</v>
      </c>
      <c r="G548" s="19">
        <v>58500</v>
      </c>
      <c r="H548" s="19">
        <f t="shared" si="207"/>
        <v>59553</v>
      </c>
      <c r="I548" s="19">
        <f t="shared" si="205"/>
        <v>59553</v>
      </c>
      <c r="J548" s="17">
        <v>565</v>
      </c>
      <c r="K548" s="12">
        <f t="shared" si="208"/>
        <v>565</v>
      </c>
      <c r="L548" s="97" t="s">
        <v>664</v>
      </c>
      <c r="M548" s="98">
        <v>85.55</v>
      </c>
      <c r="N548" s="19">
        <f t="shared" si="209"/>
        <v>71.177599999999998</v>
      </c>
      <c r="O548" s="19">
        <f t="shared" si="210"/>
        <v>40215.343999999997</v>
      </c>
      <c r="P548" s="19">
        <f t="shared" si="206"/>
        <v>40215.343999999997</v>
      </c>
      <c r="Q548" s="19">
        <f t="shared" si="211"/>
        <v>99768.343999999997</v>
      </c>
      <c r="R548" s="52"/>
    </row>
    <row r="549" spans="2:19" x14ac:dyDescent="0.25">
      <c r="B549" s="51" t="str">
        <f>IF(F549&lt;&gt;"",1+MAX($B$22:B548),"")</f>
        <v/>
      </c>
      <c r="C549" s="55"/>
      <c r="D549" s="10"/>
      <c r="E549" s="25"/>
      <c r="F549" s="41"/>
      <c r="G549" s="19"/>
      <c r="H549" s="19">
        <f t="shared" si="207"/>
        <v>0</v>
      </c>
      <c r="I549" s="19">
        <f t="shared" si="205"/>
        <v>0</v>
      </c>
      <c r="J549" s="17"/>
      <c r="K549" s="12">
        <f t="shared" si="208"/>
        <v>0</v>
      </c>
      <c r="L549" s="12"/>
      <c r="M549" s="19"/>
      <c r="N549" s="19">
        <f t="shared" si="209"/>
        <v>0</v>
      </c>
      <c r="O549" s="19">
        <f t="shared" si="210"/>
        <v>0</v>
      </c>
      <c r="P549" s="19">
        <f t="shared" si="206"/>
        <v>0</v>
      </c>
      <c r="Q549" s="19">
        <f t="shared" si="211"/>
        <v>0</v>
      </c>
      <c r="R549" s="52"/>
    </row>
    <row r="550" spans="2:19" s="14" customFormat="1" ht="12.75" customHeight="1" x14ac:dyDescent="0.25">
      <c r="B550" s="15" t="str">
        <f>IF(F550&lt;&gt;"",1+MAX($B$22:B549),"")</f>
        <v/>
      </c>
      <c r="C550" s="15" t="s">
        <v>57</v>
      </c>
      <c r="D550" s="8" t="s">
        <v>25</v>
      </c>
      <c r="E550" s="130" t="s">
        <v>69</v>
      </c>
      <c r="F550" s="130"/>
      <c r="G550" s="130"/>
      <c r="H550" s="54">
        <f>SUM(I551:I603)</f>
        <v>35861.384624999999</v>
      </c>
      <c r="I550" s="9">
        <f t="shared" si="205"/>
        <v>0</v>
      </c>
      <c r="J550" s="9"/>
      <c r="K550" s="131" t="s">
        <v>70</v>
      </c>
      <c r="L550" s="131"/>
      <c r="M550" s="131"/>
      <c r="N550" s="131"/>
      <c r="O550" s="54">
        <f>SUM(P551:P603)</f>
        <v>17259.839750400002</v>
      </c>
      <c r="P550" s="9">
        <f t="shared" si="206"/>
        <v>0</v>
      </c>
      <c r="Q550" s="50">
        <f>SUM(Q551:Q603)</f>
        <v>53121.224375400008</v>
      </c>
      <c r="R550" s="50">
        <f>(Q550)+(H550*$Q$8)+(O550*$Q$9)+(Q550*$Q$10)+($Q$11*((Q550)+(H550*$Q$8)+(O550*$Q$9)+(Q550*$Q$10)))+(Q550*$Q$12)</f>
        <v>74340.842690995807</v>
      </c>
    </row>
    <row r="551" spans="2:19" x14ac:dyDescent="0.25">
      <c r="B551" s="51" t="str">
        <f>IF(F551&lt;&gt;"",1+MAX($B$22:B550),"")</f>
        <v/>
      </c>
      <c r="C551" s="55"/>
      <c r="D551" s="10"/>
      <c r="E551" s="25"/>
      <c r="F551" s="41"/>
      <c r="G551" s="19"/>
      <c r="H551" s="19">
        <f t="shared" ref="H551:H603" si="212">G551*$T$2</f>
        <v>0</v>
      </c>
      <c r="I551" s="19">
        <f t="shared" si="205"/>
        <v>0</v>
      </c>
      <c r="J551" s="17"/>
      <c r="K551" s="12">
        <f t="shared" ref="K551:K603" si="213">F551*J551</f>
        <v>0</v>
      </c>
      <c r="L551" s="12"/>
      <c r="M551" s="19"/>
      <c r="N551" s="19">
        <f t="shared" ref="N551:N603" si="214">M551*$U$2</f>
        <v>0</v>
      </c>
      <c r="O551" s="19">
        <f t="shared" ref="O551:O603" si="215">J551*N551</f>
        <v>0</v>
      </c>
      <c r="P551" s="19">
        <f t="shared" si="206"/>
        <v>0</v>
      </c>
      <c r="Q551" s="19">
        <f t="shared" ref="Q551:Q603" si="216">I551+P551</f>
        <v>0</v>
      </c>
      <c r="R551" s="52"/>
      <c r="S551" s="14"/>
    </row>
    <row r="552" spans="2:19" x14ac:dyDescent="0.25">
      <c r="B552" s="70" t="str">
        <f>IF(F552&lt;&gt;"",1+MAX($B$22:B551),"")</f>
        <v/>
      </c>
      <c r="C552" s="71"/>
      <c r="D552" s="72" t="s">
        <v>98</v>
      </c>
      <c r="E552" s="25"/>
      <c r="F552" s="41"/>
      <c r="G552" s="19"/>
      <c r="H552" s="19">
        <f t="shared" si="212"/>
        <v>0</v>
      </c>
      <c r="I552" s="19">
        <f t="shared" si="205"/>
        <v>0</v>
      </c>
      <c r="J552" s="17"/>
      <c r="K552" s="12">
        <f t="shared" si="213"/>
        <v>0</v>
      </c>
      <c r="L552" s="12"/>
      <c r="M552" s="19"/>
      <c r="N552" s="19">
        <f t="shared" si="214"/>
        <v>0</v>
      </c>
      <c r="O552" s="19">
        <f t="shared" si="215"/>
        <v>0</v>
      </c>
      <c r="P552" s="19">
        <f t="shared" si="206"/>
        <v>0</v>
      </c>
      <c r="Q552" s="19">
        <f t="shared" si="216"/>
        <v>0</v>
      </c>
      <c r="R552" s="52"/>
    </row>
    <row r="553" spans="2:19" x14ac:dyDescent="0.25">
      <c r="B553" s="51" t="str">
        <f>IF(F553&lt;&gt;"",1+MAX($B$22:B552),"")</f>
        <v/>
      </c>
      <c r="C553" s="55"/>
      <c r="D553" s="10"/>
      <c r="E553" s="25"/>
      <c r="F553" s="41"/>
      <c r="G553" s="19"/>
      <c r="H553" s="19">
        <f t="shared" si="212"/>
        <v>0</v>
      </c>
      <c r="I553" s="19">
        <f t="shared" si="205"/>
        <v>0</v>
      </c>
      <c r="J553" s="17"/>
      <c r="K553" s="12">
        <f t="shared" si="213"/>
        <v>0</v>
      </c>
      <c r="L553" s="12"/>
      <c r="M553" s="19"/>
      <c r="N553" s="19">
        <f t="shared" si="214"/>
        <v>0</v>
      </c>
      <c r="O553" s="19">
        <f t="shared" si="215"/>
        <v>0</v>
      </c>
      <c r="P553" s="19">
        <f t="shared" si="206"/>
        <v>0</v>
      </c>
      <c r="Q553" s="19">
        <f t="shared" si="216"/>
        <v>0</v>
      </c>
      <c r="R553" s="52"/>
    </row>
    <row r="554" spans="2:19" ht="69" x14ac:dyDescent="0.25">
      <c r="B554" s="51">
        <f>IF(F554&lt;&gt;"",1+MAX($B$22:B553),"")</f>
        <v>322</v>
      </c>
      <c r="C554" s="132" t="s">
        <v>446</v>
      </c>
      <c r="D554" s="10" t="s">
        <v>500</v>
      </c>
      <c r="E554" s="25" t="s">
        <v>90</v>
      </c>
      <c r="F554" s="41">
        <f>1</f>
        <v>1</v>
      </c>
      <c r="G554" s="19">
        <v>132.44999999999999</v>
      </c>
      <c r="H554" s="19">
        <f t="shared" si="212"/>
        <v>134.83409999999998</v>
      </c>
      <c r="I554" s="19">
        <f t="shared" si="205"/>
        <v>134.83409999999998</v>
      </c>
      <c r="J554" s="17">
        <v>1.35</v>
      </c>
      <c r="K554" s="12">
        <f t="shared" si="213"/>
        <v>1.35</v>
      </c>
      <c r="L554" s="97" t="s">
        <v>648</v>
      </c>
      <c r="M554" s="98">
        <v>58</v>
      </c>
      <c r="N554" s="19">
        <f t="shared" si="214"/>
        <v>48.256</v>
      </c>
      <c r="O554" s="19">
        <f t="shared" si="215"/>
        <v>65.145600000000002</v>
      </c>
      <c r="P554" s="19">
        <f t="shared" si="206"/>
        <v>65.145600000000002</v>
      </c>
      <c r="Q554" s="19">
        <f t="shared" si="216"/>
        <v>199.97969999999998</v>
      </c>
      <c r="R554" s="52"/>
    </row>
    <row r="555" spans="2:19" ht="110.4" x14ac:dyDescent="0.25">
      <c r="B555" s="51">
        <f>IF(F555&lt;&gt;"",1+MAX($B$22:B554),"")</f>
        <v>323</v>
      </c>
      <c r="C555" s="132"/>
      <c r="D555" s="10" t="s">
        <v>501</v>
      </c>
      <c r="E555" s="25" t="s">
        <v>90</v>
      </c>
      <c r="F555" s="41">
        <f>1</f>
        <v>1</v>
      </c>
      <c r="G555" s="94"/>
      <c r="H555" s="19">
        <v>399</v>
      </c>
      <c r="I555" s="19">
        <f t="shared" si="205"/>
        <v>399</v>
      </c>
      <c r="J555" s="17">
        <v>4.2758620689655169</v>
      </c>
      <c r="K555" s="12">
        <f t="shared" si="213"/>
        <v>4.2758620689655169</v>
      </c>
      <c r="L555" s="97" t="s">
        <v>648</v>
      </c>
      <c r="M555" s="98">
        <v>58</v>
      </c>
      <c r="N555" s="19">
        <f t="shared" si="214"/>
        <v>48.256</v>
      </c>
      <c r="O555" s="19">
        <f t="shared" si="215"/>
        <v>206.33599999999998</v>
      </c>
      <c r="P555" s="19">
        <f t="shared" si="206"/>
        <v>206.33599999999998</v>
      </c>
      <c r="Q555" s="19">
        <f t="shared" si="216"/>
        <v>605.33600000000001</v>
      </c>
      <c r="R555" s="52"/>
    </row>
    <row r="556" spans="2:19" ht="96.6" x14ac:dyDescent="0.25">
      <c r="B556" s="51">
        <f>IF(F556&lt;&gt;"",1+MAX($B$22:B555),"")</f>
        <v>324</v>
      </c>
      <c r="C556" s="132"/>
      <c r="D556" s="10" t="s">
        <v>502</v>
      </c>
      <c r="E556" s="25" t="s">
        <v>90</v>
      </c>
      <c r="F556" s="41">
        <f>1</f>
        <v>1</v>
      </c>
      <c r="G556" s="94"/>
      <c r="H556" s="19">
        <v>211</v>
      </c>
      <c r="I556" s="19">
        <f t="shared" si="205"/>
        <v>211</v>
      </c>
      <c r="J556" s="17">
        <v>4.2758620689655169</v>
      </c>
      <c r="K556" s="12">
        <f t="shared" si="213"/>
        <v>4.2758620689655169</v>
      </c>
      <c r="L556" s="97" t="s">
        <v>648</v>
      </c>
      <c r="M556" s="98">
        <v>58</v>
      </c>
      <c r="N556" s="19">
        <f t="shared" si="214"/>
        <v>48.256</v>
      </c>
      <c r="O556" s="19">
        <f t="shared" si="215"/>
        <v>206.33599999999998</v>
      </c>
      <c r="P556" s="19">
        <f t="shared" si="206"/>
        <v>206.33599999999998</v>
      </c>
      <c r="Q556" s="19">
        <f t="shared" si="216"/>
        <v>417.33600000000001</v>
      </c>
      <c r="R556" s="52"/>
    </row>
    <row r="557" spans="2:19" ht="124.2" x14ac:dyDescent="0.25">
      <c r="B557" s="51">
        <f>IF(F557&lt;&gt;"",1+MAX($B$22:B556),"")</f>
        <v>325</v>
      </c>
      <c r="C557" s="132"/>
      <c r="D557" s="10" t="s">
        <v>503</v>
      </c>
      <c r="E557" s="25" t="s">
        <v>90</v>
      </c>
      <c r="F557" s="41">
        <f>1</f>
        <v>1</v>
      </c>
      <c r="G557" s="94"/>
      <c r="H557" s="19">
        <v>201</v>
      </c>
      <c r="I557" s="19">
        <f t="shared" si="205"/>
        <v>201</v>
      </c>
      <c r="J557" s="17">
        <v>4.2758620689655169</v>
      </c>
      <c r="K557" s="12">
        <f t="shared" si="213"/>
        <v>4.2758620689655169</v>
      </c>
      <c r="L557" s="97" t="s">
        <v>648</v>
      </c>
      <c r="M557" s="98">
        <v>58</v>
      </c>
      <c r="N557" s="19">
        <f t="shared" si="214"/>
        <v>48.256</v>
      </c>
      <c r="O557" s="19">
        <f t="shared" si="215"/>
        <v>206.33599999999998</v>
      </c>
      <c r="P557" s="19">
        <f t="shared" si="206"/>
        <v>206.33599999999998</v>
      </c>
      <c r="Q557" s="19">
        <f t="shared" si="216"/>
        <v>407.33600000000001</v>
      </c>
      <c r="R557" s="52"/>
    </row>
    <row r="558" spans="2:19" ht="124.2" x14ac:dyDescent="0.25">
      <c r="B558" s="51">
        <f>IF(F558&lt;&gt;"",1+MAX($B$22:B557),"")</f>
        <v>326</v>
      </c>
      <c r="C558" s="132"/>
      <c r="D558" s="10" t="s">
        <v>504</v>
      </c>
      <c r="E558" s="25" t="s">
        <v>90</v>
      </c>
      <c r="F558" s="41">
        <f>3</f>
        <v>3</v>
      </c>
      <c r="G558" s="94"/>
      <c r="H558" s="19">
        <v>245</v>
      </c>
      <c r="I558" s="19">
        <f t="shared" si="205"/>
        <v>735</v>
      </c>
      <c r="J558" s="17">
        <v>4.5172413793103452</v>
      </c>
      <c r="K558" s="12">
        <f t="shared" si="213"/>
        <v>13.551724137931036</v>
      </c>
      <c r="L558" s="97" t="s">
        <v>648</v>
      </c>
      <c r="M558" s="98">
        <v>58</v>
      </c>
      <c r="N558" s="19">
        <f t="shared" si="214"/>
        <v>48.256</v>
      </c>
      <c r="O558" s="19">
        <f t="shared" si="215"/>
        <v>217.98400000000001</v>
      </c>
      <c r="P558" s="19">
        <f t="shared" si="206"/>
        <v>653.952</v>
      </c>
      <c r="Q558" s="19">
        <f t="shared" si="216"/>
        <v>1388.952</v>
      </c>
      <c r="R558" s="52"/>
    </row>
    <row r="559" spans="2:19" ht="124.2" x14ac:dyDescent="0.25">
      <c r="B559" s="51">
        <f>IF(F559&lt;&gt;"",1+MAX($B$22:B558),"")</f>
        <v>327</v>
      </c>
      <c r="C559" s="132"/>
      <c r="D559" s="10" t="s">
        <v>505</v>
      </c>
      <c r="E559" s="25" t="s">
        <v>90</v>
      </c>
      <c r="F559" s="41">
        <f>2</f>
        <v>2</v>
      </c>
      <c r="G559" s="94"/>
      <c r="H559" s="19">
        <v>283</v>
      </c>
      <c r="I559" s="19">
        <f t="shared" si="205"/>
        <v>566</v>
      </c>
      <c r="J559" s="17">
        <v>4.5172413793103452</v>
      </c>
      <c r="K559" s="12">
        <f t="shared" si="213"/>
        <v>9.0344827586206904</v>
      </c>
      <c r="L559" s="97" t="s">
        <v>648</v>
      </c>
      <c r="M559" s="98">
        <v>58</v>
      </c>
      <c r="N559" s="19">
        <f t="shared" si="214"/>
        <v>48.256</v>
      </c>
      <c r="O559" s="19">
        <f t="shared" si="215"/>
        <v>217.98400000000001</v>
      </c>
      <c r="P559" s="19">
        <f t="shared" si="206"/>
        <v>435.96800000000002</v>
      </c>
      <c r="Q559" s="19">
        <f t="shared" si="216"/>
        <v>1001.9680000000001</v>
      </c>
      <c r="R559" s="52"/>
    </row>
    <row r="560" spans="2:19" ht="138" x14ac:dyDescent="0.25">
      <c r="B560" s="51">
        <f>IF(F560&lt;&gt;"",1+MAX($B$22:B559),"")</f>
        <v>328</v>
      </c>
      <c r="C560" s="132"/>
      <c r="D560" s="10" t="s">
        <v>506</v>
      </c>
      <c r="E560" s="25" t="s">
        <v>90</v>
      </c>
      <c r="F560" s="41">
        <f>1</f>
        <v>1</v>
      </c>
      <c r="G560" s="94"/>
      <c r="H560" s="19">
        <v>859</v>
      </c>
      <c r="I560" s="19">
        <f t="shared" si="205"/>
        <v>859</v>
      </c>
      <c r="J560" s="17">
        <v>4.5172413793103452</v>
      </c>
      <c r="K560" s="12">
        <f t="shared" si="213"/>
        <v>4.5172413793103452</v>
      </c>
      <c r="L560" s="97" t="s">
        <v>648</v>
      </c>
      <c r="M560" s="98">
        <v>58</v>
      </c>
      <c r="N560" s="19">
        <f t="shared" si="214"/>
        <v>48.256</v>
      </c>
      <c r="O560" s="19">
        <f t="shared" si="215"/>
        <v>217.98400000000001</v>
      </c>
      <c r="P560" s="19">
        <f t="shared" si="206"/>
        <v>217.98400000000001</v>
      </c>
      <c r="Q560" s="19">
        <f t="shared" si="216"/>
        <v>1076.9839999999999</v>
      </c>
      <c r="R560" s="52"/>
    </row>
    <row r="561" spans="2:18" ht="96.6" x14ac:dyDescent="0.25">
      <c r="B561" s="51">
        <f>IF(F561&lt;&gt;"",1+MAX($B$22:B560),"")</f>
        <v>329</v>
      </c>
      <c r="C561" s="132"/>
      <c r="D561" s="10" t="s">
        <v>507</v>
      </c>
      <c r="E561" s="25" t="s">
        <v>90</v>
      </c>
      <c r="F561" s="41">
        <f>1</f>
        <v>1</v>
      </c>
      <c r="G561" s="94"/>
      <c r="H561" s="19">
        <v>316</v>
      </c>
      <c r="I561" s="19">
        <f t="shared" si="205"/>
        <v>316</v>
      </c>
      <c r="J561" s="17">
        <v>5.9482758620689653</v>
      </c>
      <c r="K561" s="12">
        <f t="shared" si="213"/>
        <v>5.9482758620689653</v>
      </c>
      <c r="L561" s="97" t="s">
        <v>648</v>
      </c>
      <c r="M561" s="98">
        <v>58</v>
      </c>
      <c r="N561" s="19">
        <f t="shared" si="214"/>
        <v>48.256</v>
      </c>
      <c r="O561" s="19">
        <f t="shared" si="215"/>
        <v>287.03999999999996</v>
      </c>
      <c r="P561" s="19">
        <f t="shared" si="206"/>
        <v>287.03999999999996</v>
      </c>
      <c r="Q561" s="19">
        <f t="shared" si="216"/>
        <v>603.04</v>
      </c>
      <c r="R561" s="52"/>
    </row>
    <row r="562" spans="2:18" ht="41.4" x14ac:dyDescent="0.25">
      <c r="B562" s="51">
        <f>IF(F562&lt;&gt;"",1+MAX($B$22:B561),"")</f>
        <v>330</v>
      </c>
      <c r="C562" s="132"/>
      <c r="D562" s="10" t="s">
        <v>508</v>
      </c>
      <c r="E562" s="25" t="s">
        <v>90</v>
      </c>
      <c r="F562" s="41">
        <f>1</f>
        <v>1</v>
      </c>
      <c r="G562" s="19">
        <v>1850</v>
      </c>
      <c r="H562" s="19">
        <f t="shared" ref="H562" si="217">G562*$T$2</f>
        <v>1883.3</v>
      </c>
      <c r="I562" s="19">
        <f t="shared" si="205"/>
        <v>1883.3</v>
      </c>
      <c r="J562" s="17">
        <v>5.9482758620689653</v>
      </c>
      <c r="K562" s="12">
        <f t="shared" si="213"/>
        <v>5.9482758620689653</v>
      </c>
      <c r="L562" s="97" t="s">
        <v>648</v>
      </c>
      <c r="M562" s="98">
        <v>58</v>
      </c>
      <c r="N562" s="19">
        <f t="shared" si="214"/>
        <v>48.256</v>
      </c>
      <c r="O562" s="19">
        <f t="shared" si="215"/>
        <v>287.03999999999996</v>
      </c>
      <c r="P562" s="19">
        <f t="shared" si="206"/>
        <v>287.03999999999996</v>
      </c>
      <c r="Q562" s="19">
        <f t="shared" si="216"/>
        <v>2170.34</v>
      </c>
      <c r="R562" s="52"/>
    </row>
    <row r="563" spans="2:18" ht="96.6" x14ac:dyDescent="0.25">
      <c r="B563" s="51">
        <f>IF(F563&lt;&gt;"",1+MAX($B$22:B562),"")</f>
        <v>331</v>
      </c>
      <c r="C563" s="132"/>
      <c r="D563" s="10" t="s">
        <v>509</v>
      </c>
      <c r="E563" s="25" t="s">
        <v>90</v>
      </c>
      <c r="F563" s="41">
        <f>1</f>
        <v>1</v>
      </c>
      <c r="G563" s="94"/>
      <c r="H563" s="19">
        <v>97</v>
      </c>
      <c r="I563" s="19">
        <f t="shared" si="205"/>
        <v>97</v>
      </c>
      <c r="J563" s="17">
        <v>3.9827586206896552</v>
      </c>
      <c r="K563" s="12">
        <f t="shared" si="213"/>
        <v>3.9827586206896552</v>
      </c>
      <c r="L563" s="97" t="s">
        <v>648</v>
      </c>
      <c r="M563" s="98">
        <v>58</v>
      </c>
      <c r="N563" s="19">
        <f t="shared" si="214"/>
        <v>48.256</v>
      </c>
      <c r="O563" s="19">
        <f t="shared" si="215"/>
        <v>192.19200000000001</v>
      </c>
      <c r="P563" s="19">
        <f t="shared" si="206"/>
        <v>192.19200000000001</v>
      </c>
      <c r="Q563" s="19">
        <f t="shared" si="216"/>
        <v>289.19200000000001</v>
      </c>
      <c r="R563" s="52"/>
    </row>
    <row r="564" spans="2:18" x14ac:dyDescent="0.25">
      <c r="B564" s="51">
        <f>IF(F564&lt;&gt;"",1+MAX($B$22:B563),"")</f>
        <v>332</v>
      </c>
      <c r="C564" s="132"/>
      <c r="D564" s="10" t="s">
        <v>510</v>
      </c>
      <c r="E564" s="25" t="s">
        <v>90</v>
      </c>
      <c r="F564" s="41">
        <f>1</f>
        <v>1</v>
      </c>
      <c r="G564" s="19">
        <v>380</v>
      </c>
      <c r="H564" s="19">
        <f t="shared" ref="H564" si="218">G564*$T$2</f>
        <v>386.84000000000003</v>
      </c>
      <c r="I564" s="19">
        <f t="shared" si="205"/>
        <v>386.84000000000003</v>
      </c>
      <c r="J564" s="17">
        <v>4.5172413793103452</v>
      </c>
      <c r="K564" s="12">
        <f t="shared" si="213"/>
        <v>4.5172413793103452</v>
      </c>
      <c r="L564" s="97" t="s">
        <v>648</v>
      </c>
      <c r="M564" s="98">
        <v>58</v>
      </c>
      <c r="N564" s="19">
        <f t="shared" si="214"/>
        <v>48.256</v>
      </c>
      <c r="O564" s="19">
        <f t="shared" si="215"/>
        <v>217.98400000000001</v>
      </c>
      <c r="P564" s="19">
        <f t="shared" si="206"/>
        <v>217.98400000000001</v>
      </c>
      <c r="Q564" s="19">
        <f t="shared" si="216"/>
        <v>604.82400000000007</v>
      </c>
      <c r="R564" s="52"/>
    </row>
    <row r="565" spans="2:18" x14ac:dyDescent="0.25">
      <c r="B565" s="51" t="str">
        <f>IF(F565&lt;&gt;"",1+MAX($B$22:B564),"")</f>
        <v/>
      </c>
      <c r="C565" s="55"/>
      <c r="D565" s="10"/>
      <c r="E565" s="25"/>
      <c r="F565" s="41"/>
      <c r="G565" s="19"/>
      <c r="H565" s="19">
        <f t="shared" si="212"/>
        <v>0</v>
      </c>
      <c r="I565" s="19">
        <f t="shared" si="205"/>
        <v>0</v>
      </c>
      <c r="J565" s="17"/>
      <c r="K565" s="12">
        <f t="shared" si="213"/>
        <v>0</v>
      </c>
      <c r="L565" s="12"/>
      <c r="M565" s="19"/>
      <c r="N565" s="19">
        <f t="shared" si="214"/>
        <v>0</v>
      </c>
      <c r="O565" s="19">
        <f t="shared" si="215"/>
        <v>0</v>
      </c>
      <c r="P565" s="19">
        <f t="shared" si="206"/>
        <v>0</v>
      </c>
      <c r="Q565" s="19">
        <f t="shared" si="216"/>
        <v>0</v>
      </c>
      <c r="R565" s="52"/>
    </row>
    <row r="566" spans="2:18" x14ac:dyDescent="0.25">
      <c r="B566" s="70" t="str">
        <f>IF(F566&lt;&gt;"",1+MAX($B$22:B565),"")</f>
        <v/>
      </c>
      <c r="C566" s="71"/>
      <c r="D566" s="72" t="s">
        <v>511</v>
      </c>
      <c r="E566" s="25"/>
      <c r="F566" s="41"/>
      <c r="G566" s="19"/>
      <c r="H566" s="19">
        <f t="shared" si="212"/>
        <v>0</v>
      </c>
      <c r="I566" s="19">
        <f t="shared" si="205"/>
        <v>0</v>
      </c>
      <c r="J566" s="17"/>
      <c r="K566" s="12">
        <f t="shared" si="213"/>
        <v>0</v>
      </c>
      <c r="L566" s="12"/>
      <c r="M566" s="19"/>
      <c r="N566" s="19">
        <f t="shared" si="214"/>
        <v>0</v>
      </c>
      <c r="O566" s="19">
        <f t="shared" si="215"/>
        <v>0</v>
      </c>
      <c r="P566" s="19">
        <f t="shared" si="206"/>
        <v>0</v>
      </c>
      <c r="Q566" s="19">
        <f t="shared" si="216"/>
        <v>0</v>
      </c>
      <c r="R566" s="52"/>
    </row>
    <row r="567" spans="2:18" ht="138" x14ac:dyDescent="0.25">
      <c r="B567" s="51">
        <f>IF(F567&lt;&gt;"",1+MAX($B$22:B566),"")</f>
        <v>333</v>
      </c>
      <c r="C567" s="132" t="s">
        <v>446</v>
      </c>
      <c r="D567" s="10" t="s">
        <v>512</v>
      </c>
      <c r="E567" s="25" t="s">
        <v>90</v>
      </c>
      <c r="F567" s="41">
        <f>1</f>
        <v>1</v>
      </c>
      <c r="G567" s="94"/>
      <c r="H567" s="19">
        <v>140</v>
      </c>
      <c r="I567" s="19">
        <f t="shared" si="205"/>
        <v>140</v>
      </c>
      <c r="J567" s="17">
        <v>2.25</v>
      </c>
      <c r="K567" s="12">
        <f t="shared" si="213"/>
        <v>2.25</v>
      </c>
      <c r="L567" s="97" t="s">
        <v>648</v>
      </c>
      <c r="M567" s="98">
        <v>58</v>
      </c>
      <c r="N567" s="19">
        <f t="shared" si="214"/>
        <v>48.256</v>
      </c>
      <c r="O567" s="19">
        <f t="shared" si="215"/>
        <v>108.57599999999999</v>
      </c>
      <c r="P567" s="19">
        <f t="shared" si="206"/>
        <v>108.57599999999999</v>
      </c>
      <c r="Q567" s="19">
        <f t="shared" si="216"/>
        <v>248.57599999999999</v>
      </c>
      <c r="R567" s="52"/>
    </row>
    <row r="568" spans="2:18" ht="110.4" x14ac:dyDescent="0.25">
      <c r="B568" s="51">
        <f>IF(F568&lt;&gt;"",1+MAX($B$22:B567),"")</f>
        <v>334</v>
      </c>
      <c r="C568" s="132"/>
      <c r="D568" s="10" t="s">
        <v>513</v>
      </c>
      <c r="E568" s="25" t="s">
        <v>90</v>
      </c>
      <c r="F568" s="41">
        <f>2</f>
        <v>2</v>
      </c>
      <c r="G568" s="94"/>
      <c r="H568" s="19">
        <v>415</v>
      </c>
      <c r="I568" s="19">
        <f t="shared" si="205"/>
        <v>830</v>
      </c>
      <c r="J568" s="17">
        <v>2.25</v>
      </c>
      <c r="K568" s="12">
        <f t="shared" si="213"/>
        <v>4.5</v>
      </c>
      <c r="L568" s="97" t="s">
        <v>648</v>
      </c>
      <c r="M568" s="98">
        <v>58</v>
      </c>
      <c r="N568" s="19">
        <f t="shared" si="214"/>
        <v>48.256</v>
      </c>
      <c r="O568" s="19">
        <f t="shared" si="215"/>
        <v>108.57599999999999</v>
      </c>
      <c r="P568" s="19">
        <f t="shared" si="206"/>
        <v>217.15199999999999</v>
      </c>
      <c r="Q568" s="19">
        <f t="shared" si="216"/>
        <v>1047.152</v>
      </c>
      <c r="R568" s="52"/>
    </row>
    <row r="569" spans="2:18" ht="96.6" x14ac:dyDescent="0.25">
      <c r="B569" s="51">
        <f>IF(F569&lt;&gt;"",1+MAX($B$22:B568),"")</f>
        <v>335</v>
      </c>
      <c r="C569" s="132"/>
      <c r="D569" s="10" t="s">
        <v>514</v>
      </c>
      <c r="E569" s="25" t="s">
        <v>90</v>
      </c>
      <c r="F569" s="41">
        <f>1</f>
        <v>1</v>
      </c>
      <c r="G569" s="94"/>
      <c r="H569" s="19">
        <v>857</v>
      </c>
      <c r="I569" s="19">
        <f t="shared" si="205"/>
        <v>857</v>
      </c>
      <c r="J569" s="17">
        <v>2.25</v>
      </c>
      <c r="K569" s="12">
        <f t="shared" si="213"/>
        <v>2.25</v>
      </c>
      <c r="L569" s="97" t="s">
        <v>648</v>
      </c>
      <c r="M569" s="98">
        <v>58</v>
      </c>
      <c r="N569" s="19">
        <f t="shared" si="214"/>
        <v>48.256</v>
      </c>
      <c r="O569" s="19">
        <f t="shared" si="215"/>
        <v>108.57599999999999</v>
      </c>
      <c r="P569" s="19">
        <f t="shared" si="206"/>
        <v>108.57599999999999</v>
      </c>
      <c r="Q569" s="19">
        <f t="shared" si="216"/>
        <v>965.57600000000002</v>
      </c>
      <c r="R569" s="52"/>
    </row>
    <row r="570" spans="2:18" ht="96.6" x14ac:dyDescent="0.25">
      <c r="B570" s="51">
        <f>IF(F570&lt;&gt;"",1+MAX($B$22:B569),"")</f>
        <v>336</v>
      </c>
      <c r="C570" s="132"/>
      <c r="D570" s="10" t="s">
        <v>515</v>
      </c>
      <c r="E570" s="25" t="s">
        <v>90</v>
      </c>
      <c r="F570" s="41">
        <f>1</f>
        <v>1</v>
      </c>
      <c r="G570" s="94"/>
      <c r="H570" s="19">
        <v>601</v>
      </c>
      <c r="I570" s="19">
        <f t="shared" si="205"/>
        <v>601</v>
      </c>
      <c r="J570" s="17">
        <v>2.25</v>
      </c>
      <c r="K570" s="12">
        <f t="shared" si="213"/>
        <v>2.25</v>
      </c>
      <c r="L570" s="97" t="s">
        <v>648</v>
      </c>
      <c r="M570" s="98">
        <v>58</v>
      </c>
      <c r="N570" s="19">
        <f t="shared" si="214"/>
        <v>48.256</v>
      </c>
      <c r="O570" s="19">
        <f t="shared" si="215"/>
        <v>108.57599999999999</v>
      </c>
      <c r="P570" s="19">
        <f t="shared" si="206"/>
        <v>108.57599999999999</v>
      </c>
      <c r="Q570" s="19">
        <f t="shared" si="216"/>
        <v>709.57600000000002</v>
      </c>
      <c r="R570" s="52"/>
    </row>
    <row r="571" spans="2:18" ht="110.4" x14ac:dyDescent="0.25">
      <c r="B571" s="51">
        <f>IF(F571&lt;&gt;"",1+MAX($B$22:B570),"")</f>
        <v>337</v>
      </c>
      <c r="C571" s="132"/>
      <c r="D571" s="10" t="s">
        <v>516</v>
      </c>
      <c r="E571" s="25" t="s">
        <v>90</v>
      </c>
      <c r="F571" s="41">
        <f>1</f>
        <v>1</v>
      </c>
      <c r="G571" s="94"/>
      <c r="H571" s="19">
        <v>839</v>
      </c>
      <c r="I571" s="19">
        <f t="shared" si="205"/>
        <v>839</v>
      </c>
      <c r="J571" s="17">
        <v>2.25</v>
      </c>
      <c r="K571" s="12">
        <f t="shared" si="213"/>
        <v>2.25</v>
      </c>
      <c r="L571" s="97" t="s">
        <v>648</v>
      </c>
      <c r="M571" s="98">
        <v>58</v>
      </c>
      <c r="N571" s="19">
        <f t="shared" si="214"/>
        <v>48.256</v>
      </c>
      <c r="O571" s="19">
        <f t="shared" si="215"/>
        <v>108.57599999999999</v>
      </c>
      <c r="P571" s="19">
        <f t="shared" si="206"/>
        <v>108.57599999999999</v>
      </c>
      <c r="Q571" s="19">
        <f t="shared" si="216"/>
        <v>947.57600000000002</v>
      </c>
      <c r="R571" s="52"/>
    </row>
    <row r="572" spans="2:18" ht="96.6" x14ac:dyDescent="0.25">
      <c r="B572" s="51">
        <f>IF(F572&lt;&gt;"",1+MAX($B$22:B571),"")</f>
        <v>338</v>
      </c>
      <c r="C572" s="132"/>
      <c r="D572" s="10" t="s">
        <v>517</v>
      </c>
      <c r="E572" s="25" t="s">
        <v>90</v>
      </c>
      <c r="F572" s="41">
        <f>1</f>
        <v>1</v>
      </c>
      <c r="G572" s="94"/>
      <c r="H572" s="19">
        <v>65</v>
      </c>
      <c r="I572" s="19">
        <f t="shared" si="205"/>
        <v>65</v>
      </c>
      <c r="J572" s="17">
        <v>2.25</v>
      </c>
      <c r="K572" s="12">
        <f t="shared" si="213"/>
        <v>2.25</v>
      </c>
      <c r="L572" s="97" t="s">
        <v>648</v>
      </c>
      <c r="M572" s="98">
        <v>58</v>
      </c>
      <c r="N572" s="19">
        <f t="shared" si="214"/>
        <v>48.256</v>
      </c>
      <c r="O572" s="19">
        <f t="shared" si="215"/>
        <v>108.57599999999999</v>
      </c>
      <c r="P572" s="19">
        <f t="shared" si="206"/>
        <v>108.57599999999999</v>
      </c>
      <c r="Q572" s="19">
        <f t="shared" si="216"/>
        <v>173.57599999999999</v>
      </c>
      <c r="R572" s="52"/>
    </row>
    <row r="573" spans="2:18" x14ac:dyDescent="0.25">
      <c r="B573" s="51" t="str">
        <f>IF(F573&lt;&gt;"",1+MAX($B$22:B572),"")</f>
        <v/>
      </c>
      <c r="C573" s="55"/>
      <c r="D573" s="10"/>
      <c r="E573" s="25"/>
      <c r="F573" s="41"/>
      <c r="G573" s="19"/>
      <c r="H573" s="19">
        <f t="shared" si="212"/>
        <v>0</v>
      </c>
      <c r="I573" s="19">
        <f t="shared" si="205"/>
        <v>0</v>
      </c>
      <c r="J573" s="17"/>
      <c r="K573" s="12">
        <f t="shared" si="213"/>
        <v>0</v>
      </c>
      <c r="L573" s="12"/>
      <c r="M573" s="19"/>
      <c r="N573" s="19">
        <f t="shared" si="214"/>
        <v>0</v>
      </c>
      <c r="O573" s="19">
        <f t="shared" si="215"/>
        <v>0</v>
      </c>
      <c r="P573" s="19">
        <f t="shared" si="206"/>
        <v>0</v>
      </c>
      <c r="Q573" s="19">
        <f t="shared" si="216"/>
        <v>0</v>
      </c>
      <c r="R573" s="52"/>
    </row>
    <row r="574" spans="2:18" x14ac:dyDescent="0.25">
      <c r="B574" s="70" t="str">
        <f>IF(F574&lt;&gt;"",1+MAX($B$22:B573),"")</f>
        <v/>
      </c>
      <c r="C574" s="71"/>
      <c r="D574" s="72" t="s">
        <v>518</v>
      </c>
      <c r="E574" s="25"/>
      <c r="F574" s="41"/>
      <c r="G574" s="19"/>
      <c r="H574" s="19">
        <f t="shared" si="212"/>
        <v>0</v>
      </c>
      <c r="I574" s="19">
        <f t="shared" si="205"/>
        <v>0</v>
      </c>
      <c r="J574" s="17"/>
      <c r="K574" s="12">
        <f t="shared" si="213"/>
        <v>0</v>
      </c>
      <c r="L574" s="12"/>
      <c r="M574" s="19"/>
      <c r="N574" s="19">
        <f t="shared" si="214"/>
        <v>0</v>
      </c>
      <c r="O574" s="19">
        <f t="shared" si="215"/>
        <v>0</v>
      </c>
      <c r="P574" s="19">
        <f t="shared" si="206"/>
        <v>0</v>
      </c>
      <c r="Q574" s="19">
        <f t="shared" si="216"/>
        <v>0</v>
      </c>
      <c r="R574" s="52"/>
    </row>
    <row r="575" spans="2:18" ht="82.8" x14ac:dyDescent="0.25">
      <c r="B575" s="51">
        <f>IF(F575&lt;&gt;"",1+MAX($B$22:B574),"")</f>
        <v>339</v>
      </c>
      <c r="C575" s="55" t="s">
        <v>446</v>
      </c>
      <c r="D575" s="10" t="s">
        <v>519</v>
      </c>
      <c r="E575" s="25" t="s">
        <v>90</v>
      </c>
      <c r="F575" s="41">
        <f>1</f>
        <v>1</v>
      </c>
      <c r="G575" s="19">
        <v>885</v>
      </c>
      <c r="H575" s="19">
        <f t="shared" si="212"/>
        <v>900.93000000000006</v>
      </c>
      <c r="I575" s="19">
        <f t="shared" si="205"/>
        <v>900.93000000000006</v>
      </c>
      <c r="J575" s="17">
        <v>5.9482758620689653</v>
      </c>
      <c r="K575" s="12">
        <f t="shared" si="213"/>
        <v>5.9482758620689653</v>
      </c>
      <c r="L575" s="97" t="s">
        <v>648</v>
      </c>
      <c r="M575" s="98">
        <v>58</v>
      </c>
      <c r="N575" s="19">
        <f t="shared" si="214"/>
        <v>48.256</v>
      </c>
      <c r="O575" s="19">
        <f t="shared" si="215"/>
        <v>287.03999999999996</v>
      </c>
      <c r="P575" s="19">
        <f t="shared" si="206"/>
        <v>287.03999999999996</v>
      </c>
      <c r="Q575" s="19">
        <f t="shared" si="216"/>
        <v>1187.97</v>
      </c>
      <c r="R575" s="52"/>
    </row>
    <row r="576" spans="2:18" x14ac:dyDescent="0.25">
      <c r="B576" s="51" t="str">
        <f>IF(F576&lt;&gt;"",1+MAX($B$22:B575),"")</f>
        <v/>
      </c>
      <c r="C576" s="55"/>
      <c r="D576" s="10"/>
      <c r="E576" s="25"/>
      <c r="F576" s="41"/>
      <c r="G576" s="19"/>
      <c r="H576" s="19">
        <f t="shared" si="212"/>
        <v>0</v>
      </c>
      <c r="I576" s="19">
        <f t="shared" si="205"/>
        <v>0</v>
      </c>
      <c r="J576" s="17"/>
      <c r="K576" s="12">
        <f t="shared" si="213"/>
        <v>0</v>
      </c>
      <c r="L576" s="12"/>
      <c r="M576" s="19"/>
      <c r="N576" s="19">
        <f t="shared" si="214"/>
        <v>0</v>
      </c>
      <c r="O576" s="19">
        <f t="shared" si="215"/>
        <v>0</v>
      </c>
      <c r="P576" s="19">
        <f t="shared" si="206"/>
        <v>0</v>
      </c>
      <c r="Q576" s="19">
        <f t="shared" si="216"/>
        <v>0</v>
      </c>
      <c r="R576" s="52"/>
    </row>
    <row r="577" spans="2:18" x14ac:dyDescent="0.25">
      <c r="B577" s="70" t="str">
        <f>IF(F577&lt;&gt;"",1+MAX($B$22:B576),"")</f>
        <v/>
      </c>
      <c r="C577" s="71"/>
      <c r="D577" s="72" t="s">
        <v>520</v>
      </c>
      <c r="E577" s="25"/>
      <c r="F577" s="41"/>
      <c r="G577" s="19"/>
      <c r="H577" s="19">
        <f t="shared" si="212"/>
        <v>0</v>
      </c>
      <c r="I577" s="19">
        <f t="shared" si="205"/>
        <v>0</v>
      </c>
      <c r="J577" s="17"/>
      <c r="K577" s="12">
        <f t="shared" si="213"/>
        <v>0</v>
      </c>
      <c r="L577" s="12"/>
      <c r="M577" s="19"/>
      <c r="N577" s="19">
        <f t="shared" si="214"/>
        <v>0</v>
      </c>
      <c r="O577" s="19">
        <f t="shared" si="215"/>
        <v>0</v>
      </c>
      <c r="P577" s="19">
        <f t="shared" si="206"/>
        <v>0</v>
      </c>
      <c r="Q577" s="19">
        <f t="shared" si="216"/>
        <v>0</v>
      </c>
      <c r="R577" s="52"/>
    </row>
    <row r="578" spans="2:18" ht="110.4" x14ac:dyDescent="0.25">
      <c r="B578" s="51">
        <f>IF(F578&lt;&gt;"",1+MAX($B$22:B577),"")</f>
        <v>340</v>
      </c>
      <c r="C578" s="132" t="s">
        <v>446</v>
      </c>
      <c r="D578" s="10" t="s">
        <v>521</v>
      </c>
      <c r="E578" s="25" t="s">
        <v>90</v>
      </c>
      <c r="F578" s="41">
        <f>1</f>
        <v>1</v>
      </c>
      <c r="G578" s="94"/>
      <c r="H578" s="19">
        <v>86</v>
      </c>
      <c r="I578" s="19">
        <f t="shared" si="205"/>
        <v>86</v>
      </c>
      <c r="J578" s="17">
        <v>1.45</v>
      </c>
      <c r="K578" s="12">
        <f t="shared" si="213"/>
        <v>1.45</v>
      </c>
      <c r="L578" s="97" t="s">
        <v>648</v>
      </c>
      <c r="M578" s="98">
        <v>58</v>
      </c>
      <c r="N578" s="19">
        <f t="shared" si="214"/>
        <v>48.256</v>
      </c>
      <c r="O578" s="19">
        <f t="shared" si="215"/>
        <v>69.971199999999996</v>
      </c>
      <c r="P578" s="19">
        <f t="shared" si="206"/>
        <v>69.971199999999996</v>
      </c>
      <c r="Q578" s="19">
        <f t="shared" si="216"/>
        <v>155.97120000000001</v>
      </c>
      <c r="R578" s="52"/>
    </row>
    <row r="579" spans="2:18" ht="82.8" x14ac:dyDescent="0.25">
      <c r="B579" s="51">
        <f>IF(F579&lt;&gt;"",1+MAX($B$22:B578),"")</f>
        <v>341</v>
      </c>
      <c r="C579" s="132"/>
      <c r="D579" s="10" t="s">
        <v>522</v>
      </c>
      <c r="E579" s="25" t="s">
        <v>90</v>
      </c>
      <c r="F579" s="41">
        <f>1</f>
        <v>1</v>
      </c>
      <c r="G579" s="19">
        <v>226.21250000000001</v>
      </c>
      <c r="H579" s="19">
        <f t="shared" si="212"/>
        <v>230.284325</v>
      </c>
      <c r="I579" s="19">
        <f t="shared" si="205"/>
        <v>230.284325</v>
      </c>
      <c r="J579" s="17">
        <v>1.45</v>
      </c>
      <c r="K579" s="12">
        <f t="shared" si="213"/>
        <v>1.45</v>
      </c>
      <c r="L579" s="97" t="s">
        <v>648</v>
      </c>
      <c r="M579" s="98">
        <v>58</v>
      </c>
      <c r="N579" s="19">
        <f t="shared" si="214"/>
        <v>48.256</v>
      </c>
      <c r="O579" s="19">
        <f t="shared" si="215"/>
        <v>69.971199999999996</v>
      </c>
      <c r="P579" s="19">
        <f t="shared" si="206"/>
        <v>69.971199999999996</v>
      </c>
      <c r="Q579" s="19">
        <f t="shared" si="216"/>
        <v>300.25552499999998</v>
      </c>
      <c r="R579" s="52"/>
    </row>
    <row r="580" spans="2:18" x14ac:dyDescent="0.25">
      <c r="B580" s="51" t="str">
        <f>IF(F580&lt;&gt;"",1+MAX($B$22:B579),"")</f>
        <v/>
      </c>
      <c r="C580" s="75"/>
      <c r="D580" s="10"/>
      <c r="E580" s="25"/>
      <c r="F580" s="41"/>
      <c r="G580" s="19"/>
      <c r="H580" s="19">
        <f t="shared" si="212"/>
        <v>0</v>
      </c>
      <c r="I580" s="19">
        <f t="shared" si="205"/>
        <v>0</v>
      </c>
      <c r="J580" s="17"/>
      <c r="K580" s="12">
        <f t="shared" si="213"/>
        <v>0</v>
      </c>
      <c r="L580" s="12"/>
      <c r="M580" s="19"/>
      <c r="N580" s="19">
        <f t="shared" si="214"/>
        <v>0</v>
      </c>
      <c r="O580" s="19">
        <f t="shared" si="215"/>
        <v>0</v>
      </c>
      <c r="P580" s="19">
        <f t="shared" si="206"/>
        <v>0</v>
      </c>
      <c r="Q580" s="19">
        <f t="shared" si="216"/>
        <v>0</v>
      </c>
      <c r="R580" s="52"/>
    </row>
    <row r="581" spans="2:18" x14ac:dyDescent="0.25">
      <c r="B581" s="70" t="str">
        <f>IF(F581&lt;&gt;"",1+MAX($B$22:B580),"")</f>
        <v/>
      </c>
      <c r="C581" s="71"/>
      <c r="D581" s="72" t="s">
        <v>523</v>
      </c>
      <c r="E581" s="25"/>
      <c r="F581" s="41"/>
      <c r="G581" s="19"/>
      <c r="H581" s="19">
        <f t="shared" si="212"/>
        <v>0</v>
      </c>
      <c r="I581" s="19">
        <f t="shared" si="205"/>
        <v>0</v>
      </c>
      <c r="J581" s="17"/>
      <c r="K581" s="12">
        <f t="shared" si="213"/>
        <v>0</v>
      </c>
      <c r="L581" s="12"/>
      <c r="M581" s="19"/>
      <c r="N581" s="19">
        <f t="shared" si="214"/>
        <v>0</v>
      </c>
      <c r="O581" s="19">
        <f t="shared" si="215"/>
        <v>0</v>
      </c>
      <c r="P581" s="19">
        <f t="shared" si="206"/>
        <v>0</v>
      </c>
      <c r="Q581" s="19">
        <f t="shared" si="216"/>
        <v>0</v>
      </c>
      <c r="R581" s="52"/>
    </row>
    <row r="582" spans="2:18" x14ac:dyDescent="0.25">
      <c r="B582" s="85" t="str">
        <f>IF(F582&lt;&gt;"",1+MAX($B$22:B581),"")</f>
        <v/>
      </c>
      <c r="C582" s="86"/>
      <c r="D582" s="87"/>
      <c r="E582" s="25"/>
      <c r="F582" s="41"/>
      <c r="G582" s="19"/>
      <c r="H582" s="19">
        <f t="shared" si="212"/>
        <v>0</v>
      </c>
      <c r="I582" s="19">
        <f t="shared" si="205"/>
        <v>0</v>
      </c>
      <c r="J582" s="17"/>
      <c r="K582" s="12">
        <f t="shared" si="213"/>
        <v>0</v>
      </c>
      <c r="L582" s="12"/>
      <c r="M582" s="19"/>
      <c r="N582" s="19">
        <f t="shared" si="214"/>
        <v>0</v>
      </c>
      <c r="O582" s="19">
        <f t="shared" si="215"/>
        <v>0</v>
      </c>
      <c r="P582" s="19">
        <f t="shared" si="206"/>
        <v>0</v>
      </c>
      <c r="Q582" s="19">
        <f t="shared" si="216"/>
        <v>0</v>
      </c>
      <c r="R582" s="52"/>
    </row>
    <row r="583" spans="2:18" x14ac:dyDescent="0.25">
      <c r="B583" s="85" t="str">
        <f>IF(F583&lt;&gt;"",1+MAX($B$22:B582),"")</f>
        <v/>
      </c>
      <c r="C583" s="75"/>
      <c r="D583" s="87" t="s">
        <v>524</v>
      </c>
      <c r="E583" s="25"/>
      <c r="F583" s="41"/>
      <c r="G583" s="19"/>
      <c r="H583" s="19">
        <f t="shared" si="212"/>
        <v>0</v>
      </c>
      <c r="I583" s="19">
        <f t="shared" si="205"/>
        <v>0</v>
      </c>
      <c r="J583" s="17"/>
      <c r="K583" s="12">
        <f t="shared" si="213"/>
        <v>0</v>
      </c>
      <c r="L583" s="12"/>
      <c r="M583" s="19"/>
      <c r="N583" s="19">
        <f t="shared" si="214"/>
        <v>0</v>
      </c>
      <c r="O583" s="19">
        <f t="shared" si="215"/>
        <v>0</v>
      </c>
      <c r="P583" s="19">
        <f t="shared" si="206"/>
        <v>0</v>
      </c>
      <c r="Q583" s="19">
        <f t="shared" si="216"/>
        <v>0</v>
      </c>
      <c r="R583" s="52"/>
    </row>
    <row r="584" spans="2:18" x14ac:dyDescent="0.25">
      <c r="B584" s="51">
        <f>IF(F584&lt;&gt;"",1+MAX($B$22:B583),"")</f>
        <v>342</v>
      </c>
      <c r="C584" s="132" t="s">
        <v>446</v>
      </c>
      <c r="D584" s="10" t="s">
        <v>525</v>
      </c>
      <c r="E584" s="25" t="s">
        <v>86</v>
      </c>
      <c r="F584" s="41">
        <f>52.49</f>
        <v>52.49</v>
      </c>
      <c r="G584" s="19">
        <v>10</v>
      </c>
      <c r="H584" s="19">
        <f t="shared" si="212"/>
        <v>10.18</v>
      </c>
      <c r="I584" s="19">
        <f t="shared" si="205"/>
        <v>534.34820000000002</v>
      </c>
      <c r="J584" s="17">
        <v>0.33359193173002327</v>
      </c>
      <c r="K584" s="12">
        <f t="shared" si="213"/>
        <v>17.510240496508921</v>
      </c>
      <c r="L584" s="97" t="s">
        <v>649</v>
      </c>
      <c r="M584" s="98">
        <v>64.45</v>
      </c>
      <c r="N584" s="19">
        <f t="shared" si="214"/>
        <v>53.622399999999999</v>
      </c>
      <c r="O584" s="19">
        <f t="shared" si="215"/>
        <v>17.887999999999998</v>
      </c>
      <c r="P584" s="19">
        <f t="shared" si="206"/>
        <v>938.94111999999996</v>
      </c>
      <c r="Q584" s="19">
        <f t="shared" si="216"/>
        <v>1473.2893199999999</v>
      </c>
      <c r="R584" s="52"/>
    </row>
    <row r="585" spans="2:18" x14ac:dyDescent="0.25">
      <c r="B585" s="51">
        <f>IF(F585&lt;&gt;"",1+MAX($B$22:B584),"")</f>
        <v>343</v>
      </c>
      <c r="C585" s="132"/>
      <c r="D585" s="10" t="s">
        <v>526</v>
      </c>
      <c r="E585" s="25" t="s">
        <v>86</v>
      </c>
      <c r="F585" s="41">
        <f>60</f>
        <v>60</v>
      </c>
      <c r="G585" s="19">
        <v>21</v>
      </c>
      <c r="H585" s="19">
        <f t="shared" si="212"/>
        <v>21.378</v>
      </c>
      <c r="I585" s="19">
        <f t="shared" si="205"/>
        <v>1282.68</v>
      </c>
      <c r="J585" s="17">
        <v>0.5</v>
      </c>
      <c r="K585" s="12">
        <f t="shared" si="213"/>
        <v>30</v>
      </c>
      <c r="L585" s="97" t="s">
        <v>648</v>
      </c>
      <c r="M585" s="98">
        <v>58</v>
      </c>
      <c r="N585" s="19">
        <f t="shared" si="214"/>
        <v>48.256</v>
      </c>
      <c r="O585" s="19">
        <f t="shared" si="215"/>
        <v>24.128</v>
      </c>
      <c r="P585" s="19">
        <f t="shared" si="206"/>
        <v>1447.68</v>
      </c>
      <c r="Q585" s="19">
        <f t="shared" si="216"/>
        <v>2730.36</v>
      </c>
      <c r="R585" s="52"/>
    </row>
    <row r="586" spans="2:18" x14ac:dyDescent="0.25">
      <c r="B586" s="51" t="str">
        <f>IF(F586&lt;&gt;"",1+MAX($B$22:B585),"")</f>
        <v/>
      </c>
      <c r="C586" s="75"/>
      <c r="D586" s="10"/>
      <c r="E586" s="25"/>
      <c r="F586" s="41"/>
      <c r="G586" s="19"/>
      <c r="H586" s="19">
        <f t="shared" si="212"/>
        <v>0</v>
      </c>
      <c r="I586" s="19">
        <f t="shared" si="205"/>
        <v>0</v>
      </c>
      <c r="J586" s="17"/>
      <c r="K586" s="12">
        <f t="shared" si="213"/>
        <v>0</v>
      </c>
      <c r="L586" s="12"/>
      <c r="M586" s="19"/>
      <c r="N586" s="19">
        <f t="shared" si="214"/>
        <v>0</v>
      </c>
      <c r="O586" s="19">
        <f t="shared" si="215"/>
        <v>0</v>
      </c>
      <c r="P586" s="19">
        <f t="shared" si="206"/>
        <v>0</v>
      </c>
      <c r="Q586" s="19">
        <f t="shared" si="216"/>
        <v>0</v>
      </c>
      <c r="R586" s="52"/>
    </row>
    <row r="587" spans="2:18" x14ac:dyDescent="0.25">
      <c r="B587" s="70" t="str">
        <f>IF(F587&lt;&gt;"",1+MAX($B$22:B586),"")</f>
        <v/>
      </c>
      <c r="C587" s="82"/>
      <c r="D587" s="72" t="s">
        <v>527</v>
      </c>
      <c r="E587" s="25"/>
      <c r="F587" s="41"/>
      <c r="G587" s="19"/>
      <c r="H587" s="19">
        <f t="shared" si="212"/>
        <v>0</v>
      </c>
      <c r="I587" s="19">
        <f t="shared" si="205"/>
        <v>0</v>
      </c>
      <c r="J587" s="17"/>
      <c r="K587" s="12">
        <f t="shared" si="213"/>
        <v>0</v>
      </c>
      <c r="L587" s="12"/>
      <c r="M587" s="19"/>
      <c r="N587" s="19">
        <f t="shared" si="214"/>
        <v>0</v>
      </c>
      <c r="O587" s="19">
        <f t="shared" si="215"/>
        <v>0</v>
      </c>
      <c r="P587" s="19">
        <f t="shared" si="206"/>
        <v>0</v>
      </c>
      <c r="Q587" s="19">
        <f t="shared" si="216"/>
        <v>0</v>
      </c>
      <c r="R587" s="52"/>
    </row>
    <row r="588" spans="2:18" ht="96.6" x14ac:dyDescent="0.25">
      <c r="B588" s="51">
        <f>IF(F588&lt;&gt;"",1+MAX($B$22:B587),"")</f>
        <v>344</v>
      </c>
      <c r="C588" s="132" t="s">
        <v>446</v>
      </c>
      <c r="D588" s="10" t="s">
        <v>528</v>
      </c>
      <c r="E588" s="25" t="s">
        <v>90</v>
      </c>
      <c r="F588" s="41">
        <f>1</f>
        <v>1</v>
      </c>
      <c r="G588" s="94"/>
      <c r="H588" s="19">
        <v>310</v>
      </c>
      <c r="I588" s="19">
        <f t="shared" si="205"/>
        <v>310</v>
      </c>
      <c r="J588" s="17">
        <v>5.9482758620689653</v>
      </c>
      <c r="K588" s="12">
        <f t="shared" si="213"/>
        <v>5.9482758620689653</v>
      </c>
      <c r="L588" s="97" t="s">
        <v>648</v>
      </c>
      <c r="M588" s="98">
        <v>58</v>
      </c>
      <c r="N588" s="19">
        <f t="shared" si="214"/>
        <v>48.256</v>
      </c>
      <c r="O588" s="19">
        <f t="shared" si="215"/>
        <v>287.03999999999996</v>
      </c>
      <c r="P588" s="19">
        <f t="shared" si="206"/>
        <v>287.03999999999996</v>
      </c>
      <c r="Q588" s="19">
        <f t="shared" si="216"/>
        <v>597.04</v>
      </c>
      <c r="R588" s="52"/>
    </row>
    <row r="589" spans="2:18" ht="96.6" x14ac:dyDescent="0.25">
      <c r="B589" s="51">
        <f>IF(F589&lt;&gt;"",1+MAX($B$22:B588),"")</f>
        <v>345</v>
      </c>
      <c r="C589" s="132"/>
      <c r="D589" s="10" t="s">
        <v>529</v>
      </c>
      <c r="E589" s="25" t="s">
        <v>90</v>
      </c>
      <c r="F589" s="41">
        <f>2</f>
        <v>2</v>
      </c>
      <c r="G589" s="94"/>
      <c r="H589" s="19">
        <v>270</v>
      </c>
      <c r="I589" s="19">
        <f t="shared" si="205"/>
        <v>540</v>
      </c>
      <c r="J589" s="17">
        <v>5.9482758620689653</v>
      </c>
      <c r="K589" s="12">
        <f t="shared" si="213"/>
        <v>11.896551724137931</v>
      </c>
      <c r="L589" s="97" t="s">
        <v>648</v>
      </c>
      <c r="M589" s="98">
        <v>58</v>
      </c>
      <c r="N589" s="19">
        <f t="shared" si="214"/>
        <v>48.256</v>
      </c>
      <c r="O589" s="19">
        <f t="shared" si="215"/>
        <v>287.03999999999996</v>
      </c>
      <c r="P589" s="19">
        <f t="shared" si="206"/>
        <v>574.07999999999993</v>
      </c>
      <c r="Q589" s="19">
        <f t="shared" si="216"/>
        <v>1114.08</v>
      </c>
      <c r="R589" s="52"/>
    </row>
    <row r="590" spans="2:18" ht="151.80000000000001" x14ac:dyDescent="0.25">
      <c r="B590" s="51">
        <f>IF(F590&lt;&gt;"",1+MAX($B$22:B589),"")</f>
        <v>346</v>
      </c>
      <c r="C590" s="132"/>
      <c r="D590" s="10" t="s">
        <v>530</v>
      </c>
      <c r="E590" s="25" t="s">
        <v>90</v>
      </c>
      <c r="F590" s="41">
        <f>1</f>
        <v>1</v>
      </c>
      <c r="G590" s="94"/>
      <c r="H590" s="19">
        <v>790</v>
      </c>
      <c r="I590" s="19">
        <f t="shared" si="205"/>
        <v>790</v>
      </c>
      <c r="J590" s="17">
        <v>5.9482758620689653</v>
      </c>
      <c r="K590" s="12">
        <f t="shared" si="213"/>
        <v>5.9482758620689653</v>
      </c>
      <c r="L590" s="97" t="s">
        <v>648</v>
      </c>
      <c r="M590" s="98">
        <v>58</v>
      </c>
      <c r="N590" s="19">
        <f t="shared" si="214"/>
        <v>48.256</v>
      </c>
      <c r="O590" s="19">
        <f t="shared" si="215"/>
        <v>287.03999999999996</v>
      </c>
      <c r="P590" s="19">
        <f t="shared" si="206"/>
        <v>287.03999999999996</v>
      </c>
      <c r="Q590" s="19">
        <f t="shared" si="216"/>
        <v>1077.04</v>
      </c>
      <c r="R590" s="52"/>
    </row>
    <row r="591" spans="2:18" x14ac:dyDescent="0.25">
      <c r="B591" s="51" t="str">
        <f>IF(F591&lt;&gt;"",1+MAX($B$22:B590),"")</f>
        <v/>
      </c>
      <c r="C591" s="75"/>
      <c r="D591" s="10"/>
      <c r="E591" s="25"/>
      <c r="F591" s="41"/>
      <c r="G591" s="19"/>
      <c r="H591" s="19">
        <f t="shared" si="212"/>
        <v>0</v>
      </c>
      <c r="I591" s="19">
        <f t="shared" si="205"/>
        <v>0</v>
      </c>
      <c r="J591" s="17"/>
      <c r="K591" s="12">
        <f t="shared" si="213"/>
        <v>0</v>
      </c>
      <c r="L591" s="12"/>
      <c r="M591" s="19"/>
      <c r="N591" s="19">
        <f t="shared" si="214"/>
        <v>0</v>
      </c>
      <c r="O591" s="19">
        <f t="shared" si="215"/>
        <v>0</v>
      </c>
      <c r="P591" s="19">
        <f t="shared" si="206"/>
        <v>0</v>
      </c>
      <c r="Q591" s="19">
        <f t="shared" si="216"/>
        <v>0</v>
      </c>
      <c r="R591" s="52"/>
    </row>
    <row r="592" spans="2:18" x14ac:dyDescent="0.25">
      <c r="B592" s="70" t="str">
        <f>IF(F592&lt;&gt;"",1+MAX($B$22:B591),"")</f>
        <v/>
      </c>
      <c r="C592" s="82"/>
      <c r="D592" s="72" t="s">
        <v>531</v>
      </c>
      <c r="E592" s="25"/>
      <c r="F592" s="41"/>
      <c r="G592" s="19"/>
      <c r="H592" s="19">
        <f t="shared" si="212"/>
        <v>0</v>
      </c>
      <c r="I592" s="19">
        <f t="shared" si="205"/>
        <v>0</v>
      </c>
      <c r="J592" s="17"/>
      <c r="K592" s="12">
        <f t="shared" si="213"/>
        <v>0</v>
      </c>
      <c r="L592" s="12"/>
      <c r="M592" s="19"/>
      <c r="N592" s="19">
        <f t="shared" si="214"/>
        <v>0</v>
      </c>
      <c r="O592" s="19">
        <f t="shared" si="215"/>
        <v>0</v>
      </c>
      <c r="P592" s="19">
        <f t="shared" si="206"/>
        <v>0</v>
      </c>
      <c r="Q592" s="19">
        <f t="shared" si="216"/>
        <v>0</v>
      </c>
      <c r="R592" s="52"/>
    </row>
    <row r="593" spans="2:19" x14ac:dyDescent="0.25">
      <c r="B593" s="51">
        <f>IF(F593&lt;&gt;"",1+MAX($B$22:B592),"")</f>
        <v>347</v>
      </c>
      <c r="C593" s="75" t="s">
        <v>446</v>
      </c>
      <c r="D593" s="10" t="s">
        <v>532</v>
      </c>
      <c r="E593" s="25" t="s">
        <v>90</v>
      </c>
      <c r="F593" s="41">
        <f>1</f>
        <v>1</v>
      </c>
      <c r="G593" s="19">
        <v>145</v>
      </c>
      <c r="H593" s="19">
        <f t="shared" si="212"/>
        <v>147.61000000000001</v>
      </c>
      <c r="I593" s="19">
        <f t="shared" si="205"/>
        <v>147.61000000000001</v>
      </c>
      <c r="J593" s="17">
        <v>1.65</v>
      </c>
      <c r="K593" s="12">
        <f t="shared" si="213"/>
        <v>1.65</v>
      </c>
      <c r="L593" s="97" t="s">
        <v>648</v>
      </c>
      <c r="M593" s="98">
        <v>58</v>
      </c>
      <c r="N593" s="19">
        <f t="shared" si="214"/>
        <v>48.256</v>
      </c>
      <c r="O593" s="19">
        <f t="shared" si="215"/>
        <v>79.622399999999999</v>
      </c>
      <c r="P593" s="19">
        <f t="shared" si="206"/>
        <v>79.622399999999999</v>
      </c>
      <c r="Q593" s="19">
        <f t="shared" si="216"/>
        <v>227.23240000000001</v>
      </c>
      <c r="R593" s="52"/>
    </row>
    <row r="594" spans="2:19" x14ac:dyDescent="0.25">
      <c r="B594" s="51" t="str">
        <f>IF(F594&lt;&gt;"",1+MAX($B$22:B593),"")</f>
        <v/>
      </c>
      <c r="C594" s="75"/>
      <c r="D594" s="10"/>
      <c r="E594" s="25"/>
      <c r="F594" s="41"/>
      <c r="G594" s="19"/>
      <c r="H594" s="19">
        <f t="shared" si="212"/>
        <v>0</v>
      </c>
      <c r="I594" s="19">
        <f t="shared" si="205"/>
        <v>0</v>
      </c>
      <c r="J594" s="17"/>
      <c r="K594" s="12">
        <f t="shared" si="213"/>
        <v>0</v>
      </c>
      <c r="L594" s="12"/>
      <c r="M594" s="19"/>
      <c r="N594" s="19">
        <f t="shared" si="214"/>
        <v>0</v>
      </c>
      <c r="O594" s="19">
        <f t="shared" si="215"/>
        <v>0</v>
      </c>
      <c r="P594" s="19">
        <f t="shared" si="206"/>
        <v>0</v>
      </c>
      <c r="Q594" s="19">
        <f t="shared" si="216"/>
        <v>0</v>
      </c>
      <c r="R594" s="52"/>
    </row>
    <row r="595" spans="2:19" x14ac:dyDescent="0.25">
      <c r="B595" s="70" t="str">
        <f>IF(F595&lt;&gt;"",1+MAX($B$22:B594),"")</f>
        <v/>
      </c>
      <c r="C595" s="82"/>
      <c r="D595" s="72" t="s">
        <v>533</v>
      </c>
      <c r="E595" s="25"/>
      <c r="F595" s="41"/>
      <c r="G595" s="19"/>
      <c r="H595" s="19">
        <f t="shared" si="212"/>
        <v>0</v>
      </c>
      <c r="I595" s="19">
        <f t="shared" si="205"/>
        <v>0</v>
      </c>
      <c r="J595" s="17"/>
      <c r="K595" s="12">
        <f t="shared" si="213"/>
        <v>0</v>
      </c>
      <c r="L595" s="12"/>
      <c r="M595" s="19"/>
      <c r="N595" s="19">
        <f t="shared" si="214"/>
        <v>0</v>
      </c>
      <c r="O595" s="19">
        <f t="shared" si="215"/>
        <v>0</v>
      </c>
      <c r="P595" s="19">
        <f t="shared" si="206"/>
        <v>0</v>
      </c>
      <c r="Q595" s="19">
        <f t="shared" si="216"/>
        <v>0</v>
      </c>
      <c r="R595" s="52"/>
    </row>
    <row r="596" spans="2:19" x14ac:dyDescent="0.25">
      <c r="B596" s="51">
        <f>IF(F596&lt;&gt;"",1+MAX($B$22:B595),"")</f>
        <v>348</v>
      </c>
      <c r="C596" s="55" t="s">
        <v>446</v>
      </c>
      <c r="D596" s="10" t="s">
        <v>534</v>
      </c>
      <c r="E596" s="25" t="s">
        <v>90</v>
      </c>
      <c r="F596" s="41">
        <f>2</f>
        <v>2</v>
      </c>
      <c r="G596" s="19">
        <v>243</v>
      </c>
      <c r="H596" s="19">
        <f t="shared" si="212"/>
        <v>247.374</v>
      </c>
      <c r="I596" s="19">
        <f t="shared" si="205"/>
        <v>494.74799999999999</v>
      </c>
      <c r="J596" s="17">
        <v>1.5980000000000001</v>
      </c>
      <c r="K596" s="12">
        <f t="shared" si="213"/>
        <v>3.1960000000000002</v>
      </c>
      <c r="L596" s="97" t="s">
        <v>649</v>
      </c>
      <c r="M596" s="98">
        <v>64.45</v>
      </c>
      <c r="N596" s="19">
        <f t="shared" si="214"/>
        <v>53.622399999999999</v>
      </c>
      <c r="O596" s="19">
        <f t="shared" si="215"/>
        <v>85.688595200000009</v>
      </c>
      <c r="P596" s="19">
        <f t="shared" si="206"/>
        <v>171.37719040000002</v>
      </c>
      <c r="Q596" s="19">
        <f t="shared" si="216"/>
        <v>666.12519040000006</v>
      </c>
      <c r="R596" s="52"/>
    </row>
    <row r="597" spans="2:19" s="88" customFormat="1" x14ac:dyDescent="0.25">
      <c r="B597" s="85" t="str">
        <f>IF(F597&lt;&gt;"",1+MAX($B$22:B596),"")</f>
        <v/>
      </c>
      <c r="C597" s="75"/>
      <c r="D597" s="89"/>
      <c r="E597" s="90"/>
      <c r="F597" s="91"/>
      <c r="G597" s="19"/>
      <c r="H597" s="19">
        <f t="shared" si="212"/>
        <v>0</v>
      </c>
      <c r="I597" s="19">
        <f t="shared" si="205"/>
        <v>0</v>
      </c>
      <c r="J597" s="17"/>
      <c r="K597" s="12">
        <f t="shared" si="213"/>
        <v>0</v>
      </c>
      <c r="L597" s="12"/>
      <c r="M597" s="19"/>
      <c r="N597" s="19">
        <f t="shared" si="214"/>
        <v>0</v>
      </c>
      <c r="O597" s="19">
        <f t="shared" si="215"/>
        <v>0</v>
      </c>
      <c r="P597" s="19">
        <f t="shared" si="206"/>
        <v>0</v>
      </c>
      <c r="Q597" s="19">
        <f t="shared" si="216"/>
        <v>0</v>
      </c>
      <c r="R597" s="52"/>
    </row>
    <row r="598" spans="2:19" s="88" customFormat="1" x14ac:dyDescent="0.25">
      <c r="B598" s="70" t="str">
        <f>IF(F598&lt;&gt;"",1+MAX($B$22:B597),"")</f>
        <v/>
      </c>
      <c r="C598" s="82"/>
      <c r="D598" s="72" t="s">
        <v>535</v>
      </c>
      <c r="E598" s="90"/>
      <c r="F598" s="91"/>
      <c r="G598" s="19"/>
      <c r="H598" s="19">
        <f t="shared" si="212"/>
        <v>0</v>
      </c>
      <c r="I598" s="19">
        <f t="shared" si="205"/>
        <v>0</v>
      </c>
      <c r="J598" s="17"/>
      <c r="K598" s="12">
        <f t="shared" si="213"/>
        <v>0</v>
      </c>
      <c r="L598" s="12"/>
      <c r="M598" s="19"/>
      <c r="N598" s="19">
        <f t="shared" si="214"/>
        <v>0</v>
      </c>
      <c r="O598" s="19">
        <f t="shared" si="215"/>
        <v>0</v>
      </c>
      <c r="P598" s="19">
        <f t="shared" si="206"/>
        <v>0</v>
      </c>
      <c r="Q598" s="19">
        <f t="shared" si="216"/>
        <v>0</v>
      </c>
      <c r="R598" s="52"/>
    </row>
    <row r="599" spans="2:19" x14ac:dyDescent="0.25">
      <c r="B599" s="51">
        <f>IF(F599&lt;&gt;"",1+MAX($B$22:B598),"")</f>
        <v>349</v>
      </c>
      <c r="C599" s="55" t="s">
        <v>446</v>
      </c>
      <c r="D599" s="10" t="s">
        <v>118</v>
      </c>
      <c r="E599" s="25" t="s">
        <v>90</v>
      </c>
      <c r="F599" s="41">
        <f>1</f>
        <v>1</v>
      </c>
      <c r="G599" s="19">
        <v>45</v>
      </c>
      <c r="H599" s="19">
        <f t="shared" si="212"/>
        <v>45.81</v>
      </c>
      <c r="I599" s="19">
        <f t="shared" si="205"/>
        <v>45.81</v>
      </c>
      <c r="J599" s="17">
        <v>0.85</v>
      </c>
      <c r="K599" s="12">
        <f t="shared" si="213"/>
        <v>0.85</v>
      </c>
      <c r="L599" s="97" t="s">
        <v>649</v>
      </c>
      <c r="M599" s="98">
        <v>64.45</v>
      </c>
      <c r="N599" s="19">
        <f t="shared" si="214"/>
        <v>53.622399999999999</v>
      </c>
      <c r="O599" s="19">
        <f t="shared" si="215"/>
        <v>45.579039999999999</v>
      </c>
      <c r="P599" s="19">
        <f t="shared" si="206"/>
        <v>45.579039999999999</v>
      </c>
      <c r="Q599" s="19">
        <f t="shared" si="216"/>
        <v>91.389039999999994</v>
      </c>
      <c r="R599" s="52"/>
    </row>
    <row r="600" spans="2:19" x14ac:dyDescent="0.25">
      <c r="B600" s="51" t="str">
        <f>IF(F600&lt;&gt;"",1+MAX($B$22:B599),"")</f>
        <v/>
      </c>
      <c r="C600" s="55"/>
      <c r="D600" s="10"/>
      <c r="E600" s="25"/>
      <c r="F600" s="41"/>
      <c r="G600" s="19"/>
      <c r="H600" s="19">
        <f t="shared" si="212"/>
        <v>0</v>
      </c>
      <c r="I600" s="19">
        <f t="shared" ref="I600:I602" si="219">F600*H600</f>
        <v>0</v>
      </c>
      <c r="J600" s="17"/>
      <c r="K600" s="12">
        <f t="shared" ref="K600:K602" si="220">F600*J600</f>
        <v>0</v>
      </c>
      <c r="L600" s="12"/>
      <c r="M600" s="19"/>
      <c r="N600" s="19">
        <f t="shared" si="214"/>
        <v>0</v>
      </c>
      <c r="O600" s="19">
        <f t="shared" ref="O600:O602" si="221">J600*N600</f>
        <v>0</v>
      </c>
      <c r="P600" s="19">
        <f t="shared" ref="P600:P602" si="222">F600*O600</f>
        <v>0</v>
      </c>
      <c r="Q600" s="19">
        <f t="shared" ref="Q600:Q602" si="223">I600+P600</f>
        <v>0</v>
      </c>
      <c r="R600" s="52"/>
      <c r="S600" s="14"/>
    </row>
    <row r="601" spans="2:19" x14ac:dyDescent="0.25">
      <c r="B601" s="70" t="str">
        <f>IF(F601&lt;&gt;"",1+MAX($B$22:B600),"")</f>
        <v/>
      </c>
      <c r="C601" s="71"/>
      <c r="D601" s="72" t="s">
        <v>499</v>
      </c>
      <c r="E601" s="25"/>
      <c r="F601" s="41"/>
      <c r="G601" s="19"/>
      <c r="H601" s="19">
        <f t="shared" si="212"/>
        <v>0</v>
      </c>
      <c r="I601" s="19">
        <f t="shared" si="219"/>
        <v>0</v>
      </c>
      <c r="J601" s="17"/>
      <c r="K601" s="12">
        <f t="shared" si="220"/>
        <v>0</v>
      </c>
      <c r="L601" s="12"/>
      <c r="M601" s="19"/>
      <c r="N601" s="19">
        <f t="shared" si="214"/>
        <v>0</v>
      </c>
      <c r="O601" s="19">
        <f t="shared" si="221"/>
        <v>0</v>
      </c>
      <c r="P601" s="19">
        <f t="shared" si="222"/>
        <v>0</v>
      </c>
      <c r="Q601" s="19">
        <f t="shared" si="223"/>
        <v>0</v>
      </c>
      <c r="R601" s="52"/>
    </row>
    <row r="602" spans="2:19" ht="27.6" x14ac:dyDescent="0.25">
      <c r="B602" s="51">
        <f>IF(F602&lt;&gt;"",1+MAX($B$22:B601),"")</f>
        <v>350</v>
      </c>
      <c r="C602" s="55" t="s">
        <v>446</v>
      </c>
      <c r="D602" s="10" t="s">
        <v>611</v>
      </c>
      <c r="E602" s="25" t="s">
        <v>68</v>
      </c>
      <c r="F602" s="41">
        <v>1</v>
      </c>
      <c r="G602" s="19">
        <v>21000</v>
      </c>
      <c r="H602" s="19">
        <f t="shared" si="212"/>
        <v>21378</v>
      </c>
      <c r="I602" s="19">
        <f t="shared" si="219"/>
        <v>21378</v>
      </c>
      <c r="J602" s="17">
        <v>192</v>
      </c>
      <c r="K602" s="12">
        <f t="shared" si="220"/>
        <v>192</v>
      </c>
      <c r="L602" s="97" t="s">
        <v>648</v>
      </c>
      <c r="M602" s="98">
        <v>58</v>
      </c>
      <c r="N602" s="19">
        <f t="shared" si="214"/>
        <v>48.256</v>
      </c>
      <c r="O602" s="19">
        <f t="shared" si="221"/>
        <v>9265.152</v>
      </c>
      <c r="P602" s="19">
        <f t="shared" si="222"/>
        <v>9265.152</v>
      </c>
      <c r="Q602" s="19">
        <f t="shared" si="223"/>
        <v>30643.152000000002</v>
      </c>
      <c r="R602" s="52"/>
    </row>
    <row r="603" spans="2:19" x14ac:dyDescent="0.25">
      <c r="B603" s="51" t="str">
        <f>IF(F603&lt;&gt;"",1+MAX($B$22:B602),"")</f>
        <v/>
      </c>
      <c r="C603" s="55"/>
      <c r="D603" s="10"/>
      <c r="E603" s="25"/>
      <c r="F603" s="41"/>
      <c r="G603" s="19"/>
      <c r="H603" s="19">
        <f t="shared" si="212"/>
        <v>0</v>
      </c>
      <c r="I603" s="19">
        <f t="shared" si="205"/>
        <v>0</v>
      </c>
      <c r="J603" s="17"/>
      <c r="K603" s="12">
        <f t="shared" si="213"/>
        <v>0</v>
      </c>
      <c r="L603" s="12"/>
      <c r="M603" s="19"/>
      <c r="N603" s="19">
        <f t="shared" si="214"/>
        <v>0</v>
      </c>
      <c r="O603" s="19">
        <f t="shared" si="215"/>
        <v>0</v>
      </c>
      <c r="P603" s="19">
        <f t="shared" si="206"/>
        <v>0</v>
      </c>
      <c r="Q603" s="19">
        <f t="shared" si="216"/>
        <v>0</v>
      </c>
      <c r="R603" s="52"/>
    </row>
    <row r="604" spans="2:19" s="14" customFormat="1" ht="12.75" customHeight="1" x14ac:dyDescent="0.25">
      <c r="B604" s="15" t="str">
        <f>IF(F604&lt;&gt;"",1+MAX($B$22:B603),"")</f>
        <v/>
      </c>
      <c r="C604" s="15" t="s">
        <v>58</v>
      </c>
      <c r="D604" s="8" t="s">
        <v>31</v>
      </c>
      <c r="E604" s="130" t="s">
        <v>69</v>
      </c>
      <c r="F604" s="130"/>
      <c r="G604" s="130"/>
      <c r="H604" s="54">
        <f>SUM(I605:I611)</f>
        <v>70.531621000000001</v>
      </c>
      <c r="I604" s="9">
        <f t="shared" si="205"/>
        <v>0</v>
      </c>
      <c r="J604" s="9"/>
      <c r="K604" s="131" t="s">
        <v>70</v>
      </c>
      <c r="L604" s="131"/>
      <c r="M604" s="131"/>
      <c r="N604" s="131"/>
      <c r="O604" s="54">
        <f>SUM(P605:P611)</f>
        <v>229.69820723199999</v>
      </c>
      <c r="P604" s="9">
        <f t="shared" si="206"/>
        <v>0</v>
      </c>
      <c r="Q604" s="50">
        <f>SUM(Q605:Q611)</f>
        <v>300.22982823199999</v>
      </c>
      <c r="R604" s="50">
        <f>(Q604)+(H604*$Q$8)+(O604*$Q$9)+(Q604*$Q$10)+($Q$11*((Q604)+(H604*$Q$8)+(O604*$Q$9)+(Q604*$Q$10)))+(Q604*$Q$12)</f>
        <v>425.55027475026401</v>
      </c>
    </row>
    <row r="605" spans="2:19" x14ac:dyDescent="0.25">
      <c r="B605" s="51" t="str">
        <f>IF(F605&lt;&gt;"",1+MAX($B$22:B604),"")</f>
        <v/>
      </c>
      <c r="C605" s="55"/>
      <c r="D605" s="10"/>
      <c r="E605" s="25"/>
      <c r="F605" s="41"/>
      <c r="G605" s="19"/>
      <c r="H605" s="19">
        <f t="shared" ref="H605:H611" si="224">G605*$T$2</f>
        <v>0</v>
      </c>
      <c r="I605" s="19">
        <f t="shared" si="205"/>
        <v>0</v>
      </c>
      <c r="J605" s="17"/>
      <c r="K605" s="12">
        <f t="shared" ref="K605:K611" si="225">F605*J605</f>
        <v>0</v>
      </c>
      <c r="L605" s="12"/>
      <c r="M605" s="19"/>
      <c r="N605" s="19">
        <f t="shared" ref="N605:N611" si="226">M605*$U$2</f>
        <v>0</v>
      </c>
      <c r="O605" s="19">
        <f t="shared" ref="O605:O611" si="227">J605*N605</f>
        <v>0</v>
      </c>
      <c r="P605" s="19">
        <f t="shared" si="206"/>
        <v>0</v>
      </c>
      <c r="Q605" s="19">
        <f t="shared" ref="Q605:Q611" si="228">I605+P605</f>
        <v>0</v>
      </c>
      <c r="R605" s="52"/>
      <c r="S605" s="14"/>
    </row>
    <row r="606" spans="2:19" x14ac:dyDescent="0.25">
      <c r="B606" s="70" t="str">
        <f>IF(F606&lt;&gt;"",1+MAX($B$22:B605),"")</f>
        <v/>
      </c>
      <c r="C606" s="71"/>
      <c r="D606" s="72" t="s">
        <v>100</v>
      </c>
      <c r="E606" s="25"/>
      <c r="F606" s="41"/>
      <c r="G606" s="19"/>
      <c r="H606" s="19">
        <f t="shared" si="224"/>
        <v>0</v>
      </c>
      <c r="I606" s="19">
        <f t="shared" si="205"/>
        <v>0</v>
      </c>
      <c r="J606" s="17"/>
      <c r="K606" s="12">
        <f t="shared" si="225"/>
        <v>0</v>
      </c>
      <c r="L606" s="12"/>
      <c r="M606" s="19"/>
      <c r="N606" s="19">
        <f t="shared" si="226"/>
        <v>0</v>
      </c>
      <c r="O606" s="19">
        <f t="shared" si="227"/>
        <v>0</v>
      </c>
      <c r="P606" s="19">
        <f t="shared" si="206"/>
        <v>0</v>
      </c>
      <c r="Q606" s="19">
        <f t="shared" si="228"/>
        <v>0</v>
      </c>
      <c r="R606" s="52"/>
    </row>
    <row r="607" spans="2:19" x14ac:dyDescent="0.25">
      <c r="B607" s="51">
        <f>IF(F607&lt;&gt;"",1+MAX($B$22:B606),"")</f>
        <v>351</v>
      </c>
      <c r="C607" s="55" t="s">
        <v>446</v>
      </c>
      <c r="D607" s="10" t="s">
        <v>536</v>
      </c>
      <c r="E607" s="55" t="s">
        <v>94</v>
      </c>
      <c r="F607" s="92">
        <v>34.130000000000003</v>
      </c>
      <c r="G607" s="19">
        <v>0.65</v>
      </c>
      <c r="H607" s="19">
        <f t="shared" si="224"/>
        <v>0.66170000000000007</v>
      </c>
      <c r="I607" s="19">
        <f t="shared" si="205"/>
        <v>22.583821000000004</v>
      </c>
      <c r="J607" s="17">
        <v>0.10404127257093723</v>
      </c>
      <c r="K607" s="12">
        <f t="shared" si="225"/>
        <v>3.5509286328460878</v>
      </c>
      <c r="L607" s="97" t="s">
        <v>665</v>
      </c>
      <c r="M607" s="98">
        <v>58.15</v>
      </c>
      <c r="N607" s="19">
        <f t="shared" si="226"/>
        <v>48.380799999999994</v>
      </c>
      <c r="O607" s="19">
        <f t="shared" si="227"/>
        <v>5.033599999999999</v>
      </c>
      <c r="P607" s="19">
        <f t="shared" si="206"/>
        <v>171.79676799999999</v>
      </c>
      <c r="Q607" s="19">
        <f t="shared" si="228"/>
        <v>194.38058899999999</v>
      </c>
      <c r="R607" s="52"/>
    </row>
    <row r="608" spans="2:19" x14ac:dyDescent="0.25">
      <c r="B608" s="51" t="str">
        <f>IF(F608&lt;&gt;"",1+MAX($B$22:B607),"")</f>
        <v/>
      </c>
      <c r="C608" s="55"/>
      <c r="D608" s="51"/>
      <c r="E608" s="55"/>
      <c r="F608" s="53"/>
      <c r="G608" s="19"/>
      <c r="H608" s="19">
        <f t="shared" si="224"/>
        <v>0</v>
      </c>
      <c r="I608" s="19">
        <f t="shared" si="205"/>
        <v>0</v>
      </c>
      <c r="J608" s="17"/>
      <c r="K608" s="12">
        <f t="shared" si="225"/>
        <v>0</v>
      </c>
      <c r="L608" s="12"/>
      <c r="M608" s="19"/>
      <c r="N608" s="19">
        <f t="shared" si="226"/>
        <v>0</v>
      </c>
      <c r="O608" s="19">
        <f t="shared" si="227"/>
        <v>0</v>
      </c>
      <c r="P608" s="19">
        <f t="shared" si="206"/>
        <v>0</v>
      </c>
      <c r="Q608" s="19">
        <f t="shared" si="228"/>
        <v>0</v>
      </c>
      <c r="R608" s="52"/>
    </row>
    <row r="609" spans="2:19" x14ac:dyDescent="0.25">
      <c r="B609" s="51" t="str">
        <f>IF(F609&lt;&gt;"",1+MAX($B$22:B608),"")</f>
        <v/>
      </c>
      <c r="C609" s="55"/>
      <c r="D609" s="53" t="s">
        <v>228</v>
      </c>
      <c r="E609" s="25"/>
      <c r="F609" s="41"/>
      <c r="G609" s="19"/>
      <c r="H609" s="19">
        <f t="shared" si="224"/>
        <v>0</v>
      </c>
      <c r="I609" s="19">
        <f t="shared" si="205"/>
        <v>0</v>
      </c>
      <c r="J609" s="17"/>
      <c r="K609" s="12">
        <f t="shared" si="225"/>
        <v>0</v>
      </c>
      <c r="L609" s="12"/>
      <c r="M609" s="19"/>
      <c r="N609" s="19">
        <f t="shared" si="226"/>
        <v>0</v>
      </c>
      <c r="O609" s="19">
        <f t="shared" si="227"/>
        <v>0</v>
      </c>
      <c r="P609" s="19">
        <f t="shared" si="206"/>
        <v>0</v>
      </c>
      <c r="Q609" s="19">
        <f t="shared" si="228"/>
        <v>0</v>
      </c>
      <c r="R609" s="52"/>
    </row>
    <row r="610" spans="2:19" x14ac:dyDescent="0.25">
      <c r="B610" s="51">
        <f>IF(F610&lt;&gt;"",1+MAX($B$22:B609),"")</f>
        <v>352</v>
      </c>
      <c r="C610" s="55" t="s">
        <v>446</v>
      </c>
      <c r="D610" s="10" t="s">
        <v>537</v>
      </c>
      <c r="E610" s="25" t="s">
        <v>82</v>
      </c>
      <c r="F610" s="41">
        <f>37.68</f>
        <v>37.68</v>
      </c>
      <c r="G610" s="19">
        <v>1.25</v>
      </c>
      <c r="H610" s="19">
        <f t="shared" si="224"/>
        <v>1.2725</v>
      </c>
      <c r="I610" s="19">
        <f t="shared" si="205"/>
        <v>47.947800000000001</v>
      </c>
      <c r="J610" s="17">
        <v>3.5000000000000003E-2</v>
      </c>
      <c r="K610" s="12">
        <f t="shared" si="225"/>
        <v>1.3188000000000002</v>
      </c>
      <c r="L610" s="97" t="s">
        <v>666</v>
      </c>
      <c r="M610" s="98">
        <v>52.77</v>
      </c>
      <c r="N610" s="19">
        <f t="shared" si="226"/>
        <v>43.904640000000001</v>
      </c>
      <c r="O610" s="19">
        <f t="shared" si="227"/>
        <v>1.5366624000000002</v>
      </c>
      <c r="P610" s="19">
        <f t="shared" si="206"/>
        <v>57.901439232000008</v>
      </c>
      <c r="Q610" s="19">
        <f t="shared" si="228"/>
        <v>105.849239232</v>
      </c>
      <c r="R610" s="52"/>
      <c r="S610" s="14"/>
    </row>
    <row r="611" spans="2:19" x14ac:dyDescent="0.25">
      <c r="B611" s="51" t="str">
        <f>IF(F611&lt;&gt;"",1+MAX($B$22:B610),"")</f>
        <v/>
      </c>
      <c r="C611" s="55"/>
      <c r="D611" s="51"/>
      <c r="E611" s="55"/>
      <c r="F611" s="53"/>
      <c r="G611" s="19"/>
      <c r="H611" s="19">
        <f t="shared" si="224"/>
        <v>0</v>
      </c>
      <c r="I611" s="19">
        <f t="shared" si="205"/>
        <v>0</v>
      </c>
      <c r="J611" s="17"/>
      <c r="K611" s="12">
        <f t="shared" si="225"/>
        <v>0</v>
      </c>
      <c r="L611" s="12"/>
      <c r="M611" s="19"/>
      <c r="N611" s="19">
        <f t="shared" si="226"/>
        <v>0</v>
      </c>
      <c r="O611" s="19">
        <f t="shared" si="227"/>
        <v>0</v>
      </c>
      <c r="P611" s="19">
        <f t="shared" si="206"/>
        <v>0</v>
      </c>
      <c r="Q611" s="19">
        <f t="shared" si="228"/>
        <v>0</v>
      </c>
      <c r="R611" s="52"/>
    </row>
    <row r="612" spans="2:19" s="14" customFormat="1" ht="12.75" customHeight="1" x14ac:dyDescent="0.25">
      <c r="B612" s="15" t="str">
        <f>IF(F612&lt;&gt;"",1+MAX($B$22:B611),"")</f>
        <v/>
      </c>
      <c r="C612" s="15" t="s">
        <v>59</v>
      </c>
      <c r="D612" s="8" t="s">
        <v>26</v>
      </c>
      <c r="E612" s="130" t="s">
        <v>69</v>
      </c>
      <c r="F612" s="130"/>
      <c r="G612" s="130"/>
      <c r="H612" s="54">
        <f>SUM(I613:I688)</f>
        <v>31110.918000000001</v>
      </c>
      <c r="I612" s="9">
        <f t="shared" si="205"/>
        <v>0</v>
      </c>
      <c r="J612" s="9"/>
      <c r="K612" s="131" t="s">
        <v>70</v>
      </c>
      <c r="L612" s="131"/>
      <c r="M612" s="131"/>
      <c r="N612" s="131"/>
      <c r="O612" s="54">
        <f>SUM(P613:P688)</f>
        <v>16645.545196799998</v>
      </c>
      <c r="P612" s="9">
        <f t="shared" si="206"/>
        <v>0</v>
      </c>
      <c r="Q612" s="50">
        <f>SUM(Q613:Q688)</f>
        <v>47756.463196799981</v>
      </c>
      <c r="R612" s="50">
        <f>(Q612)+(H612*$Q$8)+(O612*$Q$9)+(Q612*$Q$10)+($Q$11*((Q612)+(H612*$Q$8)+(O612*$Q$9)+(Q612*$Q$10)))+(Q612*$Q$12)</f>
        <v>66879.147527433568</v>
      </c>
    </row>
    <row r="613" spans="2:19" x14ac:dyDescent="0.25">
      <c r="B613" s="51" t="str">
        <f>IF(F613&lt;&gt;"",1+MAX($B$22:B612),"")</f>
        <v/>
      </c>
      <c r="C613" s="55"/>
      <c r="D613" s="10"/>
      <c r="E613" s="25"/>
      <c r="F613" s="41"/>
      <c r="G613" s="19"/>
      <c r="H613" s="19">
        <f t="shared" ref="H613:H673" si="229">G613*$T$2</f>
        <v>0</v>
      </c>
      <c r="I613" s="19">
        <f t="shared" si="205"/>
        <v>0</v>
      </c>
      <c r="J613" s="17"/>
      <c r="K613" s="12">
        <f t="shared" ref="K613:K673" si="230">F613*J613</f>
        <v>0</v>
      </c>
      <c r="L613" s="12"/>
      <c r="M613" s="19"/>
      <c r="N613" s="19">
        <f t="shared" ref="N613:N673" si="231">M613*$U$2</f>
        <v>0</v>
      </c>
      <c r="O613" s="19">
        <f t="shared" ref="O613:O673" si="232">J613*N613</f>
        <v>0</v>
      </c>
      <c r="P613" s="19">
        <f t="shared" si="206"/>
        <v>0</v>
      </c>
      <c r="Q613" s="19">
        <f t="shared" ref="Q613:Q673" si="233">I613+P613</f>
        <v>0</v>
      </c>
      <c r="R613" s="52"/>
    </row>
    <row r="614" spans="2:19" x14ac:dyDescent="0.25">
      <c r="B614" s="70" t="str">
        <f>IF(F614&lt;&gt;"",1+MAX($B$22:B613),"")</f>
        <v/>
      </c>
      <c r="C614" s="71"/>
      <c r="D614" s="72" t="s">
        <v>99</v>
      </c>
      <c r="E614" s="25"/>
      <c r="F614" s="41"/>
      <c r="G614" s="19"/>
      <c r="H614" s="19">
        <f t="shared" si="229"/>
        <v>0</v>
      </c>
      <c r="I614" s="19">
        <f t="shared" si="205"/>
        <v>0</v>
      </c>
      <c r="J614" s="17"/>
      <c r="K614" s="12">
        <f t="shared" si="230"/>
        <v>0</v>
      </c>
      <c r="L614" s="12"/>
      <c r="M614" s="19"/>
      <c r="N614" s="19">
        <f t="shared" si="231"/>
        <v>0</v>
      </c>
      <c r="O614" s="19">
        <f t="shared" si="232"/>
        <v>0</v>
      </c>
      <c r="P614" s="19">
        <f t="shared" si="206"/>
        <v>0</v>
      </c>
      <c r="Q614" s="19">
        <f t="shared" si="233"/>
        <v>0</v>
      </c>
      <c r="R614" s="52"/>
    </row>
    <row r="615" spans="2:19" ht="151.80000000000001" x14ac:dyDescent="0.25">
      <c r="B615" s="51">
        <f>IF(F615&lt;&gt;"",1+MAX($B$22:B614),"")</f>
        <v>353</v>
      </c>
      <c r="C615" s="132" t="s">
        <v>446</v>
      </c>
      <c r="D615" s="10" t="s">
        <v>539</v>
      </c>
      <c r="E615" s="25" t="s">
        <v>90</v>
      </c>
      <c r="F615" s="41">
        <f>1</f>
        <v>1</v>
      </c>
      <c r="G615" s="94"/>
      <c r="H615" s="19">
        <v>17</v>
      </c>
      <c r="I615" s="19">
        <f t="shared" si="205"/>
        <v>17</v>
      </c>
      <c r="J615" s="17">
        <v>1</v>
      </c>
      <c r="K615" s="12">
        <f t="shared" si="230"/>
        <v>1</v>
      </c>
      <c r="L615" s="97" t="s">
        <v>668</v>
      </c>
      <c r="M615" s="98">
        <v>61.3</v>
      </c>
      <c r="N615" s="19">
        <f t="shared" si="231"/>
        <v>51.001599999999996</v>
      </c>
      <c r="O615" s="19">
        <f t="shared" si="232"/>
        <v>51.001599999999996</v>
      </c>
      <c r="P615" s="19">
        <f t="shared" si="206"/>
        <v>51.001599999999996</v>
      </c>
      <c r="Q615" s="19">
        <f t="shared" si="233"/>
        <v>68.001599999999996</v>
      </c>
      <c r="R615" s="52"/>
    </row>
    <row r="616" spans="2:19" ht="124.2" x14ac:dyDescent="0.25">
      <c r="B616" s="51">
        <f>IF(F616&lt;&gt;"",1+MAX($B$22:B615),"")</f>
        <v>354</v>
      </c>
      <c r="C616" s="132"/>
      <c r="D616" s="10" t="s">
        <v>540</v>
      </c>
      <c r="E616" s="25" t="s">
        <v>90</v>
      </c>
      <c r="F616" s="41">
        <f>1</f>
        <v>1</v>
      </c>
      <c r="G616" s="94"/>
      <c r="H616" s="19">
        <v>150</v>
      </c>
      <c r="I616" s="19">
        <f t="shared" si="205"/>
        <v>150</v>
      </c>
      <c r="J616" s="17">
        <v>1</v>
      </c>
      <c r="K616" s="12">
        <f t="shared" si="230"/>
        <v>1</v>
      </c>
      <c r="L616" s="97" t="s">
        <v>668</v>
      </c>
      <c r="M616" s="98">
        <v>61.3</v>
      </c>
      <c r="N616" s="19">
        <f t="shared" si="231"/>
        <v>51.001599999999996</v>
      </c>
      <c r="O616" s="19">
        <f t="shared" si="232"/>
        <v>51.001599999999996</v>
      </c>
      <c r="P616" s="19">
        <f t="shared" si="206"/>
        <v>51.001599999999996</v>
      </c>
      <c r="Q616" s="19">
        <f t="shared" si="233"/>
        <v>201.0016</v>
      </c>
      <c r="R616" s="52"/>
    </row>
    <row r="617" spans="2:19" ht="96.6" x14ac:dyDescent="0.25">
      <c r="B617" s="51">
        <f>IF(F617&lt;&gt;"",1+MAX($B$22:B616),"")</f>
        <v>355</v>
      </c>
      <c r="C617" s="132"/>
      <c r="D617" s="10" t="s">
        <v>541</v>
      </c>
      <c r="E617" s="25" t="s">
        <v>90</v>
      </c>
      <c r="F617" s="41">
        <f>5</f>
        <v>5</v>
      </c>
      <c r="G617" s="94"/>
      <c r="H617" s="19">
        <v>18</v>
      </c>
      <c r="I617" s="19">
        <f t="shared" si="205"/>
        <v>90</v>
      </c>
      <c r="J617" s="17">
        <v>1</v>
      </c>
      <c r="K617" s="12">
        <f t="shared" si="230"/>
        <v>5</v>
      </c>
      <c r="L617" s="97" t="s">
        <v>668</v>
      </c>
      <c r="M617" s="98">
        <v>61.3</v>
      </c>
      <c r="N617" s="19">
        <f t="shared" si="231"/>
        <v>51.001599999999996</v>
      </c>
      <c r="O617" s="19">
        <f t="shared" si="232"/>
        <v>51.001599999999996</v>
      </c>
      <c r="P617" s="19">
        <f t="shared" si="206"/>
        <v>255.00799999999998</v>
      </c>
      <c r="Q617" s="19">
        <f t="shared" si="233"/>
        <v>345.00799999999998</v>
      </c>
      <c r="R617" s="52"/>
    </row>
    <row r="618" spans="2:19" ht="124.2" x14ac:dyDescent="0.25">
      <c r="B618" s="51">
        <f>IF(F618&lt;&gt;"",1+MAX($B$22:B617),"")</f>
        <v>356</v>
      </c>
      <c r="C618" s="132"/>
      <c r="D618" s="10" t="s">
        <v>542</v>
      </c>
      <c r="E618" s="25" t="s">
        <v>90</v>
      </c>
      <c r="F618" s="41">
        <f>11</f>
        <v>11</v>
      </c>
      <c r="G618" s="94"/>
      <c r="H618" s="19">
        <v>167</v>
      </c>
      <c r="I618" s="19">
        <f t="shared" si="205"/>
        <v>1837</v>
      </c>
      <c r="J618" s="17">
        <v>1</v>
      </c>
      <c r="K618" s="12">
        <f t="shared" si="230"/>
        <v>11</v>
      </c>
      <c r="L618" s="97" t="s">
        <v>668</v>
      </c>
      <c r="M618" s="98">
        <v>61.3</v>
      </c>
      <c r="N618" s="19">
        <f t="shared" si="231"/>
        <v>51.001599999999996</v>
      </c>
      <c r="O618" s="19">
        <f t="shared" si="232"/>
        <v>51.001599999999996</v>
      </c>
      <c r="P618" s="19">
        <f t="shared" si="206"/>
        <v>561.0175999999999</v>
      </c>
      <c r="Q618" s="19">
        <f t="shared" si="233"/>
        <v>2398.0176000000001</v>
      </c>
      <c r="R618" s="52"/>
    </row>
    <row r="619" spans="2:19" x14ac:dyDescent="0.25">
      <c r="B619" s="51"/>
      <c r="C619" s="55"/>
      <c r="D619" s="10"/>
      <c r="E619" s="25"/>
      <c r="F619" s="41"/>
      <c r="G619" s="19"/>
      <c r="H619" s="19">
        <f t="shared" si="229"/>
        <v>0</v>
      </c>
      <c r="I619" s="19">
        <f t="shared" si="205"/>
        <v>0</v>
      </c>
      <c r="J619" s="17"/>
      <c r="K619" s="12">
        <f t="shared" si="230"/>
        <v>0</v>
      </c>
      <c r="L619" s="12"/>
      <c r="M619" s="19"/>
      <c r="N619" s="19">
        <f t="shared" si="231"/>
        <v>0</v>
      </c>
      <c r="O619" s="19">
        <f t="shared" si="232"/>
        <v>0</v>
      </c>
      <c r="P619" s="19">
        <f t="shared" si="206"/>
        <v>0</v>
      </c>
      <c r="Q619" s="19">
        <f t="shared" si="233"/>
        <v>0</v>
      </c>
      <c r="R619" s="52"/>
    </row>
    <row r="620" spans="2:19" x14ac:dyDescent="0.25">
      <c r="B620" s="70" t="str">
        <f>IF(F620&lt;&gt;"",1+MAX($B$22:B618),"")</f>
        <v/>
      </c>
      <c r="C620" s="71"/>
      <c r="D620" s="72" t="s">
        <v>543</v>
      </c>
      <c r="E620" s="25"/>
      <c r="F620" s="41"/>
      <c r="G620" s="19"/>
      <c r="H620" s="19">
        <f t="shared" si="229"/>
        <v>0</v>
      </c>
      <c r="I620" s="19">
        <f t="shared" si="205"/>
        <v>0</v>
      </c>
      <c r="J620" s="17"/>
      <c r="K620" s="12">
        <f t="shared" si="230"/>
        <v>0</v>
      </c>
      <c r="L620" s="12"/>
      <c r="M620" s="19"/>
      <c r="N620" s="19">
        <f t="shared" si="231"/>
        <v>0</v>
      </c>
      <c r="O620" s="19">
        <f t="shared" si="232"/>
        <v>0</v>
      </c>
      <c r="P620" s="19">
        <f t="shared" si="206"/>
        <v>0</v>
      </c>
      <c r="Q620" s="19">
        <f t="shared" si="233"/>
        <v>0</v>
      </c>
      <c r="R620" s="52"/>
    </row>
    <row r="621" spans="2:19" ht="110.4" x14ac:dyDescent="0.25">
      <c r="B621" s="51">
        <f>IF(F621&lt;&gt;"",1+MAX($B$22:B620),"")</f>
        <v>357</v>
      </c>
      <c r="C621" s="132" t="s">
        <v>446</v>
      </c>
      <c r="D621" s="10" t="s">
        <v>609</v>
      </c>
      <c r="E621" s="25" t="s">
        <v>90</v>
      </c>
      <c r="F621" s="41">
        <f>1</f>
        <v>1</v>
      </c>
      <c r="G621" s="94"/>
      <c r="H621" s="19">
        <v>7</v>
      </c>
      <c r="I621" s="19">
        <f t="shared" si="205"/>
        <v>7</v>
      </c>
      <c r="J621" s="17">
        <v>1</v>
      </c>
      <c r="K621" s="12">
        <f t="shared" si="230"/>
        <v>1</v>
      </c>
      <c r="L621" s="97" t="s">
        <v>668</v>
      </c>
      <c r="M621" s="98">
        <v>61.3</v>
      </c>
      <c r="N621" s="19">
        <f t="shared" si="231"/>
        <v>51.001599999999996</v>
      </c>
      <c r="O621" s="19">
        <f t="shared" si="232"/>
        <v>51.001599999999996</v>
      </c>
      <c r="P621" s="19">
        <f t="shared" si="206"/>
        <v>51.001599999999996</v>
      </c>
      <c r="Q621" s="19">
        <f t="shared" si="233"/>
        <v>58.001599999999996</v>
      </c>
      <c r="R621" s="52"/>
    </row>
    <row r="622" spans="2:19" ht="27.6" x14ac:dyDescent="0.25">
      <c r="B622" s="51">
        <f>IF(F622&lt;&gt;"",1+MAX($B$22:B621),"")</f>
        <v>358</v>
      </c>
      <c r="C622" s="132"/>
      <c r="D622" s="10" t="s">
        <v>608</v>
      </c>
      <c r="E622" s="25" t="s">
        <v>90</v>
      </c>
      <c r="F622" s="41">
        <f>6</f>
        <v>6</v>
      </c>
      <c r="G622" s="100">
        <v>95</v>
      </c>
      <c r="H622" s="100">
        <f t="shared" ref="H622" si="234">G622*$T$2</f>
        <v>96.710000000000008</v>
      </c>
      <c r="I622" s="100">
        <f t="shared" si="205"/>
        <v>580.26</v>
      </c>
      <c r="J622" s="101">
        <v>0.59699999999999998</v>
      </c>
      <c r="K622" s="102">
        <f t="shared" si="230"/>
        <v>3.5819999999999999</v>
      </c>
      <c r="L622" s="102" t="s">
        <v>668</v>
      </c>
      <c r="M622" s="100">
        <v>61.3</v>
      </c>
      <c r="N622" s="19">
        <f t="shared" si="231"/>
        <v>51.001599999999996</v>
      </c>
      <c r="O622" s="19">
        <f t="shared" si="232"/>
        <v>30.447955199999996</v>
      </c>
      <c r="P622" s="19">
        <f t="shared" si="206"/>
        <v>182.68773119999997</v>
      </c>
      <c r="Q622" s="19">
        <f t="shared" si="233"/>
        <v>762.94773119999991</v>
      </c>
      <c r="R622" s="52"/>
    </row>
    <row r="623" spans="2:19" x14ac:dyDescent="0.25">
      <c r="B623" s="51" t="str">
        <f>IF(F623&lt;&gt;"",1+MAX($B$22:B622),"")</f>
        <v/>
      </c>
      <c r="C623" s="55"/>
      <c r="D623" s="10"/>
      <c r="E623" s="25"/>
      <c r="F623" s="41"/>
      <c r="G623" s="19"/>
      <c r="H623" s="19">
        <f t="shared" si="229"/>
        <v>0</v>
      </c>
      <c r="I623" s="19">
        <f t="shared" si="205"/>
        <v>0</v>
      </c>
      <c r="J623" s="17"/>
      <c r="K623" s="12">
        <f t="shared" si="230"/>
        <v>0</v>
      </c>
      <c r="L623" s="12"/>
      <c r="M623" s="19"/>
      <c r="N623" s="19">
        <f t="shared" si="231"/>
        <v>0</v>
      </c>
      <c r="O623" s="19">
        <f t="shared" si="232"/>
        <v>0</v>
      </c>
      <c r="P623" s="19">
        <f t="shared" si="206"/>
        <v>0</v>
      </c>
      <c r="Q623" s="19">
        <f t="shared" si="233"/>
        <v>0</v>
      </c>
      <c r="R623" s="52"/>
    </row>
    <row r="624" spans="2:19" x14ac:dyDescent="0.25">
      <c r="B624" s="51" t="str">
        <f>IF(F624&lt;&gt;"",1+MAX($B$22:B623),"")</f>
        <v/>
      </c>
      <c r="C624" s="55"/>
      <c r="D624" s="72" t="s">
        <v>544</v>
      </c>
      <c r="E624" s="25"/>
      <c r="F624" s="41"/>
      <c r="G624" s="19"/>
      <c r="H624" s="19">
        <f t="shared" si="229"/>
        <v>0</v>
      </c>
      <c r="I624" s="19">
        <f t="shared" si="205"/>
        <v>0</v>
      </c>
      <c r="J624" s="17"/>
      <c r="K624" s="12">
        <f t="shared" si="230"/>
        <v>0</v>
      </c>
      <c r="L624" s="12"/>
      <c r="M624" s="19"/>
      <c r="N624" s="19">
        <f t="shared" si="231"/>
        <v>0</v>
      </c>
      <c r="O624" s="19">
        <f t="shared" si="232"/>
        <v>0</v>
      </c>
      <c r="P624" s="19">
        <f t="shared" si="206"/>
        <v>0</v>
      </c>
      <c r="Q624" s="19">
        <f t="shared" si="233"/>
        <v>0</v>
      </c>
      <c r="R624" s="52"/>
    </row>
    <row r="625" spans="2:18" ht="110.4" x14ac:dyDescent="0.25">
      <c r="B625" s="51">
        <f>IF(F625&lt;&gt;"",1+MAX($B$22:B624),"")</f>
        <v>359</v>
      </c>
      <c r="C625" s="132" t="s">
        <v>446</v>
      </c>
      <c r="D625" s="10" t="s">
        <v>545</v>
      </c>
      <c r="E625" s="25" t="s">
        <v>90</v>
      </c>
      <c r="F625" s="41">
        <f>3</f>
        <v>3</v>
      </c>
      <c r="G625" s="94"/>
      <c r="H625" s="19">
        <v>35</v>
      </c>
      <c r="I625" s="19">
        <f t="shared" si="205"/>
        <v>105</v>
      </c>
      <c r="J625" s="17">
        <v>1</v>
      </c>
      <c r="K625" s="12">
        <f t="shared" si="230"/>
        <v>3</v>
      </c>
      <c r="L625" s="97" t="s">
        <v>668</v>
      </c>
      <c r="M625" s="98">
        <v>61.3</v>
      </c>
      <c r="N625" s="19">
        <f t="shared" si="231"/>
        <v>51.001599999999996</v>
      </c>
      <c r="O625" s="19">
        <f t="shared" si="232"/>
        <v>51.001599999999996</v>
      </c>
      <c r="P625" s="19">
        <f t="shared" si="206"/>
        <v>153.00479999999999</v>
      </c>
      <c r="Q625" s="19">
        <f t="shared" si="233"/>
        <v>258.00479999999999</v>
      </c>
      <c r="R625" s="52"/>
    </row>
    <row r="626" spans="2:18" ht="138" x14ac:dyDescent="0.25">
      <c r="B626" s="51">
        <f>IF(F626&lt;&gt;"",1+MAX($B$22:B625),"")</f>
        <v>360</v>
      </c>
      <c r="C626" s="132"/>
      <c r="D626" s="10" t="s">
        <v>546</v>
      </c>
      <c r="E626" s="25" t="s">
        <v>90</v>
      </c>
      <c r="F626" s="41">
        <f>3</f>
        <v>3</v>
      </c>
      <c r="G626" s="94"/>
      <c r="H626" s="19">
        <v>109</v>
      </c>
      <c r="I626" s="19">
        <f t="shared" si="205"/>
        <v>327</v>
      </c>
      <c r="J626" s="17">
        <v>1</v>
      </c>
      <c r="K626" s="12">
        <f t="shared" si="230"/>
        <v>3</v>
      </c>
      <c r="L626" s="97" t="s">
        <v>668</v>
      </c>
      <c r="M626" s="98">
        <v>61.3</v>
      </c>
      <c r="N626" s="19">
        <f t="shared" si="231"/>
        <v>51.001599999999996</v>
      </c>
      <c r="O626" s="19">
        <f t="shared" si="232"/>
        <v>51.001599999999996</v>
      </c>
      <c r="P626" s="19">
        <f t="shared" si="206"/>
        <v>153.00479999999999</v>
      </c>
      <c r="Q626" s="19">
        <f t="shared" si="233"/>
        <v>480.00479999999999</v>
      </c>
      <c r="R626" s="52"/>
    </row>
    <row r="627" spans="2:18" ht="151.80000000000001" x14ac:dyDescent="0.25">
      <c r="B627" s="51">
        <f>IF(F627&lt;&gt;"",1+MAX($B$22:B626),"")</f>
        <v>361</v>
      </c>
      <c r="C627" s="132"/>
      <c r="D627" s="10" t="s">
        <v>547</v>
      </c>
      <c r="E627" s="25" t="s">
        <v>90</v>
      </c>
      <c r="F627" s="41">
        <f>6</f>
        <v>6</v>
      </c>
      <c r="G627" s="94"/>
      <c r="H627" s="19">
        <v>109</v>
      </c>
      <c r="I627" s="19">
        <f t="shared" si="205"/>
        <v>654</v>
      </c>
      <c r="J627" s="17">
        <v>1</v>
      </c>
      <c r="K627" s="12">
        <f t="shared" si="230"/>
        <v>6</v>
      </c>
      <c r="L627" s="97" t="s">
        <v>668</v>
      </c>
      <c r="M627" s="98">
        <v>61.3</v>
      </c>
      <c r="N627" s="19">
        <f t="shared" si="231"/>
        <v>51.001599999999996</v>
      </c>
      <c r="O627" s="19">
        <f t="shared" si="232"/>
        <v>51.001599999999996</v>
      </c>
      <c r="P627" s="19">
        <f t="shared" si="206"/>
        <v>306.00959999999998</v>
      </c>
      <c r="Q627" s="19">
        <f t="shared" si="233"/>
        <v>960.00959999999998</v>
      </c>
      <c r="R627" s="52"/>
    </row>
    <row r="628" spans="2:18" ht="138" x14ac:dyDescent="0.25">
      <c r="B628" s="51">
        <f>IF(F628&lt;&gt;"",1+MAX($B$22:B627),"")</f>
        <v>362</v>
      </c>
      <c r="C628" s="132"/>
      <c r="D628" s="10" t="s">
        <v>548</v>
      </c>
      <c r="E628" s="25" t="s">
        <v>90</v>
      </c>
      <c r="F628" s="41">
        <f>3</f>
        <v>3</v>
      </c>
      <c r="G628" s="94"/>
      <c r="H628" s="19">
        <v>96</v>
      </c>
      <c r="I628" s="19">
        <f t="shared" si="205"/>
        <v>288</v>
      </c>
      <c r="J628" s="17">
        <v>1</v>
      </c>
      <c r="K628" s="12">
        <f t="shared" si="230"/>
        <v>3</v>
      </c>
      <c r="L628" s="97" t="s">
        <v>668</v>
      </c>
      <c r="M628" s="98">
        <v>61.3</v>
      </c>
      <c r="N628" s="19">
        <f t="shared" si="231"/>
        <v>51.001599999999996</v>
      </c>
      <c r="O628" s="19">
        <f t="shared" si="232"/>
        <v>51.001599999999996</v>
      </c>
      <c r="P628" s="19">
        <f t="shared" si="206"/>
        <v>153.00479999999999</v>
      </c>
      <c r="Q628" s="19">
        <f t="shared" si="233"/>
        <v>441.00479999999999</v>
      </c>
      <c r="R628" s="52"/>
    </row>
    <row r="629" spans="2:18" ht="124.2" x14ac:dyDescent="0.25">
      <c r="B629" s="51">
        <f>IF(F629&lt;&gt;"",1+MAX($B$22:B628),"")</f>
        <v>363</v>
      </c>
      <c r="C629" s="132"/>
      <c r="D629" s="10" t="s">
        <v>549</v>
      </c>
      <c r="E629" s="25" t="s">
        <v>86</v>
      </c>
      <c r="F629" s="41">
        <f>8.75</f>
        <v>8.75</v>
      </c>
      <c r="G629" s="94"/>
      <c r="H629" s="19">
        <v>38</v>
      </c>
      <c r="I629" s="19">
        <f t="shared" si="205"/>
        <v>332.5</v>
      </c>
      <c r="J629" s="17">
        <v>1</v>
      </c>
      <c r="K629" s="12">
        <f t="shared" si="230"/>
        <v>8.75</v>
      </c>
      <c r="L629" s="97" t="s">
        <v>668</v>
      </c>
      <c r="M629" s="98">
        <v>61.3</v>
      </c>
      <c r="N629" s="19">
        <f t="shared" si="231"/>
        <v>51.001599999999996</v>
      </c>
      <c r="O629" s="19">
        <f t="shared" si="232"/>
        <v>51.001599999999996</v>
      </c>
      <c r="P629" s="19">
        <f t="shared" si="206"/>
        <v>446.26399999999995</v>
      </c>
      <c r="Q629" s="19">
        <f t="shared" si="233"/>
        <v>778.7639999999999</v>
      </c>
      <c r="R629" s="52"/>
    </row>
    <row r="630" spans="2:18" ht="165.6" x14ac:dyDescent="0.25">
      <c r="B630" s="51">
        <f>IF(F630&lt;&gt;"",1+MAX($B$22:B629),"")</f>
        <v>364</v>
      </c>
      <c r="C630" s="132"/>
      <c r="D630" s="10" t="s">
        <v>550</v>
      </c>
      <c r="E630" s="25" t="s">
        <v>86</v>
      </c>
      <c r="F630" s="41">
        <f>8.75</f>
        <v>8.75</v>
      </c>
      <c r="G630" s="94"/>
      <c r="H630" s="19">
        <v>30</v>
      </c>
      <c r="I630" s="19">
        <f t="shared" si="205"/>
        <v>262.5</v>
      </c>
      <c r="J630" s="17">
        <v>1</v>
      </c>
      <c r="K630" s="12">
        <f t="shared" si="230"/>
        <v>8.75</v>
      </c>
      <c r="L630" s="97" t="s">
        <v>668</v>
      </c>
      <c r="M630" s="98">
        <v>61.3</v>
      </c>
      <c r="N630" s="19">
        <f t="shared" si="231"/>
        <v>51.001599999999996</v>
      </c>
      <c r="O630" s="19">
        <f t="shared" si="232"/>
        <v>51.001599999999996</v>
      </c>
      <c r="P630" s="19">
        <f t="shared" si="206"/>
        <v>446.26399999999995</v>
      </c>
      <c r="Q630" s="19">
        <f t="shared" si="233"/>
        <v>708.7639999999999</v>
      </c>
      <c r="R630" s="52"/>
    </row>
    <row r="631" spans="2:18" ht="110.4" x14ac:dyDescent="0.25">
      <c r="B631" s="51">
        <f>IF(F631&lt;&gt;"",1+MAX($B$22:B630),"")</f>
        <v>365</v>
      </c>
      <c r="C631" s="132"/>
      <c r="D631" s="10" t="s">
        <v>551</v>
      </c>
      <c r="E631" s="25" t="s">
        <v>86</v>
      </c>
      <c r="F631" s="41">
        <f>8.75</f>
        <v>8.75</v>
      </c>
      <c r="G631" s="94"/>
      <c r="H631" s="19">
        <v>7</v>
      </c>
      <c r="I631" s="19">
        <f t="shared" si="205"/>
        <v>61.25</v>
      </c>
      <c r="J631" s="17">
        <v>1</v>
      </c>
      <c r="K631" s="12">
        <f t="shared" si="230"/>
        <v>8.75</v>
      </c>
      <c r="L631" s="97" t="s">
        <v>668</v>
      </c>
      <c r="M631" s="98">
        <v>61.3</v>
      </c>
      <c r="N631" s="19">
        <f t="shared" si="231"/>
        <v>51.001599999999996</v>
      </c>
      <c r="O631" s="19">
        <f t="shared" si="232"/>
        <v>51.001599999999996</v>
      </c>
      <c r="P631" s="19">
        <f t="shared" si="206"/>
        <v>446.26399999999995</v>
      </c>
      <c r="Q631" s="19">
        <f t="shared" si="233"/>
        <v>507.51399999999995</v>
      </c>
      <c r="R631" s="52"/>
    </row>
    <row r="632" spans="2:18" ht="96.6" x14ac:dyDescent="0.25">
      <c r="B632" s="51">
        <f>IF(F632&lt;&gt;"",1+MAX($B$22:B631),"")</f>
        <v>366</v>
      </c>
      <c r="C632" s="132"/>
      <c r="D632" s="10" t="s">
        <v>552</v>
      </c>
      <c r="E632" s="25" t="s">
        <v>90</v>
      </c>
      <c r="F632" s="41">
        <f>2</f>
        <v>2</v>
      </c>
      <c r="G632" s="94"/>
      <c r="H632" s="19">
        <v>50</v>
      </c>
      <c r="I632" s="19">
        <f t="shared" si="205"/>
        <v>100</v>
      </c>
      <c r="J632" s="17">
        <v>1</v>
      </c>
      <c r="K632" s="12">
        <f t="shared" si="230"/>
        <v>2</v>
      </c>
      <c r="L632" s="97" t="s">
        <v>668</v>
      </c>
      <c r="M632" s="98">
        <v>61.3</v>
      </c>
      <c r="N632" s="19">
        <f t="shared" si="231"/>
        <v>51.001599999999996</v>
      </c>
      <c r="O632" s="19">
        <f t="shared" si="232"/>
        <v>51.001599999999996</v>
      </c>
      <c r="P632" s="19">
        <f t="shared" si="206"/>
        <v>102.00319999999999</v>
      </c>
      <c r="Q632" s="19">
        <f t="shared" si="233"/>
        <v>202.00319999999999</v>
      </c>
      <c r="R632" s="52"/>
    </row>
    <row r="633" spans="2:18" ht="138" x14ac:dyDescent="0.25">
      <c r="B633" s="51">
        <f>IF(F633&lt;&gt;"",1+MAX($B$22:B632),"")</f>
        <v>367</v>
      </c>
      <c r="C633" s="132"/>
      <c r="D633" s="10" t="s">
        <v>553</v>
      </c>
      <c r="E633" s="25" t="s">
        <v>90</v>
      </c>
      <c r="F633" s="41">
        <f>1</f>
        <v>1</v>
      </c>
      <c r="G633" s="94"/>
      <c r="H633" s="19">
        <v>100</v>
      </c>
      <c r="I633" s="19">
        <f t="shared" si="205"/>
        <v>100</v>
      </c>
      <c r="J633" s="17">
        <v>1</v>
      </c>
      <c r="K633" s="12">
        <f t="shared" si="230"/>
        <v>1</v>
      </c>
      <c r="L633" s="97" t="s">
        <v>668</v>
      </c>
      <c r="M633" s="98">
        <v>61.3</v>
      </c>
      <c r="N633" s="19">
        <f t="shared" si="231"/>
        <v>51.001599999999996</v>
      </c>
      <c r="O633" s="19">
        <f t="shared" si="232"/>
        <v>51.001599999999996</v>
      </c>
      <c r="P633" s="19">
        <f t="shared" si="206"/>
        <v>51.001599999999996</v>
      </c>
      <c r="Q633" s="19">
        <f t="shared" si="233"/>
        <v>151.0016</v>
      </c>
      <c r="R633" s="52"/>
    </row>
    <row r="634" spans="2:18" ht="96.6" x14ac:dyDescent="0.25">
      <c r="B634" s="51">
        <f>IF(F634&lt;&gt;"",1+MAX($B$22:B633),"")</f>
        <v>368</v>
      </c>
      <c r="C634" s="132"/>
      <c r="D634" s="10" t="s">
        <v>554</v>
      </c>
      <c r="E634" s="25" t="s">
        <v>90</v>
      </c>
      <c r="F634" s="41">
        <f>1</f>
        <v>1</v>
      </c>
      <c r="G634" s="94"/>
      <c r="H634" s="19">
        <v>38</v>
      </c>
      <c r="I634" s="19">
        <f t="shared" si="205"/>
        <v>38</v>
      </c>
      <c r="J634" s="17">
        <v>1</v>
      </c>
      <c r="K634" s="12">
        <f t="shared" si="230"/>
        <v>1</v>
      </c>
      <c r="L634" s="97" t="s">
        <v>668</v>
      </c>
      <c r="M634" s="98">
        <v>61.3</v>
      </c>
      <c r="N634" s="19">
        <f t="shared" si="231"/>
        <v>51.001599999999996</v>
      </c>
      <c r="O634" s="19">
        <f t="shared" si="232"/>
        <v>51.001599999999996</v>
      </c>
      <c r="P634" s="19">
        <f t="shared" si="206"/>
        <v>51.001599999999996</v>
      </c>
      <c r="Q634" s="19">
        <f t="shared" si="233"/>
        <v>89.001599999999996</v>
      </c>
      <c r="R634" s="52"/>
    </row>
    <row r="635" spans="2:18" ht="124.2" x14ac:dyDescent="0.25">
      <c r="B635" s="51">
        <f>IF(F635&lt;&gt;"",1+MAX($B$22:B634),"")</f>
        <v>369</v>
      </c>
      <c r="C635" s="132"/>
      <c r="D635" s="10" t="s">
        <v>555</v>
      </c>
      <c r="E635" s="25" t="s">
        <v>90</v>
      </c>
      <c r="F635" s="41">
        <f>1</f>
        <v>1</v>
      </c>
      <c r="G635" s="94"/>
      <c r="H635" s="19">
        <v>275</v>
      </c>
      <c r="I635" s="19">
        <f t="shared" si="205"/>
        <v>275</v>
      </c>
      <c r="J635" s="17">
        <v>1</v>
      </c>
      <c r="K635" s="12">
        <f t="shared" si="230"/>
        <v>1</v>
      </c>
      <c r="L635" s="97" t="s">
        <v>668</v>
      </c>
      <c r="M635" s="98">
        <v>61.3</v>
      </c>
      <c r="N635" s="19">
        <f t="shared" si="231"/>
        <v>51.001599999999996</v>
      </c>
      <c r="O635" s="19">
        <f t="shared" si="232"/>
        <v>51.001599999999996</v>
      </c>
      <c r="P635" s="19">
        <f t="shared" si="206"/>
        <v>51.001599999999996</v>
      </c>
      <c r="Q635" s="19">
        <f t="shared" si="233"/>
        <v>326.0016</v>
      </c>
      <c r="R635" s="52"/>
    </row>
    <row r="636" spans="2:18" ht="138" x14ac:dyDescent="0.25">
      <c r="B636" s="51">
        <f>IF(F636&lt;&gt;"",1+MAX($B$22:B635),"")</f>
        <v>370</v>
      </c>
      <c r="C636" s="132"/>
      <c r="D636" s="10" t="s">
        <v>556</v>
      </c>
      <c r="E636" s="25" t="s">
        <v>90</v>
      </c>
      <c r="F636" s="41">
        <f>4</f>
        <v>4</v>
      </c>
      <c r="G636" s="94"/>
      <c r="H636" s="19">
        <v>275</v>
      </c>
      <c r="I636" s="19">
        <f t="shared" si="205"/>
        <v>1100</v>
      </c>
      <c r="J636" s="17">
        <v>1</v>
      </c>
      <c r="K636" s="12">
        <f t="shared" si="230"/>
        <v>4</v>
      </c>
      <c r="L636" s="97" t="s">
        <v>668</v>
      </c>
      <c r="M636" s="98">
        <v>61.3</v>
      </c>
      <c r="N636" s="19">
        <f t="shared" si="231"/>
        <v>51.001599999999996</v>
      </c>
      <c r="O636" s="19">
        <f t="shared" si="232"/>
        <v>51.001599999999996</v>
      </c>
      <c r="P636" s="19">
        <f t="shared" si="206"/>
        <v>204.00639999999999</v>
      </c>
      <c r="Q636" s="19">
        <f t="shared" si="233"/>
        <v>1304.0064</v>
      </c>
      <c r="R636" s="52"/>
    </row>
    <row r="637" spans="2:18" ht="138" x14ac:dyDescent="0.25">
      <c r="B637" s="51">
        <f>IF(F637&lt;&gt;"",1+MAX($B$22:B636),"")</f>
        <v>371</v>
      </c>
      <c r="C637" s="132"/>
      <c r="D637" s="10" t="s">
        <v>557</v>
      </c>
      <c r="E637" s="25" t="s">
        <v>90</v>
      </c>
      <c r="F637" s="41">
        <f>1</f>
        <v>1</v>
      </c>
      <c r="G637" s="94"/>
      <c r="H637" s="19">
        <v>125</v>
      </c>
      <c r="I637" s="19">
        <f t="shared" si="205"/>
        <v>125</v>
      </c>
      <c r="J637" s="17">
        <v>1</v>
      </c>
      <c r="K637" s="12">
        <f t="shared" si="230"/>
        <v>1</v>
      </c>
      <c r="L637" s="97" t="s">
        <v>668</v>
      </c>
      <c r="M637" s="98">
        <v>61.3</v>
      </c>
      <c r="N637" s="19">
        <f t="shared" si="231"/>
        <v>51.001599999999996</v>
      </c>
      <c r="O637" s="19">
        <f t="shared" si="232"/>
        <v>51.001599999999996</v>
      </c>
      <c r="P637" s="19">
        <f t="shared" si="206"/>
        <v>51.001599999999996</v>
      </c>
      <c r="Q637" s="19">
        <f t="shared" si="233"/>
        <v>176.0016</v>
      </c>
      <c r="R637" s="52"/>
    </row>
    <row r="638" spans="2:18" ht="124.2" x14ac:dyDescent="0.25">
      <c r="B638" s="51">
        <f>IF(F638&lt;&gt;"",1+MAX($B$22:B637),"")</f>
        <v>372</v>
      </c>
      <c r="C638" s="132"/>
      <c r="D638" s="10" t="s">
        <v>558</v>
      </c>
      <c r="E638" s="25" t="s">
        <v>90</v>
      </c>
      <c r="F638" s="41">
        <f>6</f>
        <v>6</v>
      </c>
      <c r="G638" s="94"/>
      <c r="H638" s="19">
        <v>75</v>
      </c>
      <c r="I638" s="19">
        <f t="shared" si="205"/>
        <v>450</v>
      </c>
      <c r="J638" s="17">
        <v>1</v>
      </c>
      <c r="K638" s="12">
        <f t="shared" si="230"/>
        <v>6</v>
      </c>
      <c r="L638" s="97" t="s">
        <v>668</v>
      </c>
      <c r="M638" s="98">
        <v>61.3</v>
      </c>
      <c r="N638" s="19">
        <f t="shared" si="231"/>
        <v>51.001599999999996</v>
      </c>
      <c r="O638" s="19">
        <f t="shared" si="232"/>
        <v>51.001599999999996</v>
      </c>
      <c r="P638" s="19">
        <f t="shared" si="206"/>
        <v>306.00959999999998</v>
      </c>
      <c r="Q638" s="19">
        <f t="shared" si="233"/>
        <v>756.00959999999998</v>
      </c>
      <c r="R638" s="52"/>
    </row>
    <row r="639" spans="2:18" ht="138" x14ac:dyDescent="0.25">
      <c r="B639" s="51">
        <f>IF(F639&lt;&gt;"",1+MAX($B$22:B638),"")</f>
        <v>373</v>
      </c>
      <c r="C639" s="132"/>
      <c r="D639" s="10" t="s">
        <v>559</v>
      </c>
      <c r="E639" s="25" t="s">
        <v>90</v>
      </c>
      <c r="F639" s="41">
        <f>2</f>
        <v>2</v>
      </c>
      <c r="G639" s="94"/>
      <c r="H639" s="19">
        <v>84</v>
      </c>
      <c r="I639" s="19">
        <f t="shared" si="205"/>
        <v>168</v>
      </c>
      <c r="J639" s="17">
        <v>1</v>
      </c>
      <c r="K639" s="12">
        <f t="shared" si="230"/>
        <v>2</v>
      </c>
      <c r="L639" s="97" t="s">
        <v>668</v>
      </c>
      <c r="M639" s="98">
        <v>61.3</v>
      </c>
      <c r="N639" s="19">
        <f t="shared" si="231"/>
        <v>51.001599999999996</v>
      </c>
      <c r="O639" s="19">
        <f t="shared" si="232"/>
        <v>51.001599999999996</v>
      </c>
      <c r="P639" s="19">
        <f t="shared" si="206"/>
        <v>102.00319999999999</v>
      </c>
      <c r="Q639" s="19">
        <f t="shared" si="233"/>
        <v>270.00319999999999</v>
      </c>
      <c r="R639" s="52"/>
    </row>
    <row r="640" spans="2:18" ht="110.4" x14ac:dyDescent="0.25">
      <c r="B640" s="51">
        <f>IF(F640&lt;&gt;"",1+MAX($B$22:B639),"")</f>
        <v>374</v>
      </c>
      <c r="C640" s="132"/>
      <c r="D640" s="10" t="s">
        <v>560</v>
      </c>
      <c r="E640" s="25" t="s">
        <v>90</v>
      </c>
      <c r="F640" s="41">
        <f>1</f>
        <v>1</v>
      </c>
      <c r="G640" s="94"/>
      <c r="H640" s="19">
        <v>35</v>
      </c>
      <c r="I640" s="19">
        <f t="shared" si="205"/>
        <v>35</v>
      </c>
      <c r="J640" s="17">
        <v>1</v>
      </c>
      <c r="K640" s="12">
        <f t="shared" si="230"/>
        <v>1</v>
      </c>
      <c r="L640" s="97" t="s">
        <v>668</v>
      </c>
      <c r="M640" s="98">
        <v>61.3</v>
      </c>
      <c r="N640" s="19">
        <f t="shared" si="231"/>
        <v>51.001599999999996</v>
      </c>
      <c r="O640" s="19">
        <f t="shared" si="232"/>
        <v>51.001599999999996</v>
      </c>
      <c r="P640" s="19">
        <f t="shared" si="206"/>
        <v>51.001599999999996</v>
      </c>
      <c r="Q640" s="19">
        <f t="shared" si="233"/>
        <v>86.001599999999996</v>
      </c>
      <c r="R640" s="52"/>
    </row>
    <row r="641" spans="2:18" x14ac:dyDescent="0.25">
      <c r="B641" s="51" t="str">
        <f>IF(F641&lt;&gt;"",1+MAX($B$22:B640),"")</f>
        <v/>
      </c>
      <c r="C641" s="55"/>
      <c r="D641" s="10"/>
      <c r="E641" s="25"/>
      <c r="F641" s="41"/>
      <c r="G641" s="19"/>
      <c r="H641" s="19">
        <f t="shared" si="229"/>
        <v>0</v>
      </c>
      <c r="I641" s="19">
        <f t="shared" si="205"/>
        <v>0</v>
      </c>
      <c r="J641" s="17"/>
      <c r="K641" s="12">
        <f t="shared" si="230"/>
        <v>0</v>
      </c>
      <c r="L641" s="12"/>
      <c r="M641" s="19"/>
      <c r="N641" s="19">
        <f t="shared" si="231"/>
        <v>0</v>
      </c>
      <c r="O641" s="19">
        <f t="shared" si="232"/>
        <v>0</v>
      </c>
      <c r="P641" s="19">
        <f t="shared" si="206"/>
        <v>0</v>
      </c>
      <c r="Q641" s="19">
        <f t="shared" si="233"/>
        <v>0</v>
      </c>
      <c r="R641" s="52"/>
    </row>
    <row r="642" spans="2:18" x14ac:dyDescent="0.25">
      <c r="B642" s="51" t="str">
        <f>IF(F642&lt;&gt;"",1+MAX($B$22:B641),"")</f>
        <v/>
      </c>
      <c r="C642" s="55"/>
      <c r="D642" s="72" t="s">
        <v>561</v>
      </c>
      <c r="E642" s="25"/>
      <c r="F642" s="41"/>
      <c r="G642" s="19"/>
      <c r="H642" s="19">
        <f t="shared" si="229"/>
        <v>0</v>
      </c>
      <c r="I642" s="19">
        <f t="shared" si="205"/>
        <v>0</v>
      </c>
      <c r="J642" s="17"/>
      <c r="K642" s="12">
        <f t="shared" si="230"/>
        <v>0</v>
      </c>
      <c r="L642" s="12"/>
      <c r="M642" s="19"/>
      <c r="N642" s="19">
        <f t="shared" si="231"/>
        <v>0</v>
      </c>
      <c r="O642" s="19">
        <f t="shared" si="232"/>
        <v>0</v>
      </c>
      <c r="P642" s="19">
        <f t="shared" si="206"/>
        <v>0</v>
      </c>
      <c r="Q642" s="19">
        <f t="shared" si="233"/>
        <v>0</v>
      </c>
      <c r="R642" s="52"/>
    </row>
    <row r="643" spans="2:18" ht="138" x14ac:dyDescent="0.25">
      <c r="B643" s="51">
        <f>IF(F643&lt;&gt;"",1+MAX($B$22:B642),"")</f>
        <v>375</v>
      </c>
      <c r="C643" s="132" t="s">
        <v>446</v>
      </c>
      <c r="D643" s="10" t="s">
        <v>562</v>
      </c>
      <c r="E643" s="25" t="s">
        <v>90</v>
      </c>
      <c r="F643" s="41">
        <f>2</f>
        <v>2</v>
      </c>
      <c r="G643" s="94"/>
      <c r="H643" s="19">
        <v>125</v>
      </c>
      <c r="I643" s="19">
        <f t="shared" si="205"/>
        <v>250</v>
      </c>
      <c r="J643" s="17">
        <v>1</v>
      </c>
      <c r="K643" s="12">
        <f t="shared" si="230"/>
        <v>2</v>
      </c>
      <c r="L643" s="97" t="s">
        <v>668</v>
      </c>
      <c r="M643" s="98">
        <v>61.3</v>
      </c>
      <c r="N643" s="19">
        <f t="shared" si="231"/>
        <v>51.001599999999996</v>
      </c>
      <c r="O643" s="19">
        <f t="shared" si="232"/>
        <v>51.001599999999996</v>
      </c>
      <c r="P643" s="19">
        <f t="shared" si="206"/>
        <v>102.00319999999999</v>
      </c>
      <c r="Q643" s="19">
        <f t="shared" si="233"/>
        <v>352.00319999999999</v>
      </c>
      <c r="R643" s="52"/>
    </row>
    <row r="644" spans="2:18" ht="138" x14ac:dyDescent="0.25">
      <c r="B644" s="51">
        <f>IF(F644&lt;&gt;"",1+MAX($B$22:B643),"")</f>
        <v>376</v>
      </c>
      <c r="C644" s="132"/>
      <c r="D644" s="10" t="s">
        <v>563</v>
      </c>
      <c r="E644" s="25" t="s">
        <v>90</v>
      </c>
      <c r="F644" s="41">
        <f>2</f>
        <v>2</v>
      </c>
      <c r="G644" s="94"/>
      <c r="H644" s="19">
        <v>60</v>
      </c>
      <c r="I644" s="19">
        <f t="shared" si="205"/>
        <v>120</v>
      </c>
      <c r="J644" s="17">
        <v>1</v>
      </c>
      <c r="K644" s="12">
        <f t="shared" si="230"/>
        <v>2</v>
      </c>
      <c r="L644" s="97" t="s">
        <v>668</v>
      </c>
      <c r="M644" s="98">
        <v>61.3</v>
      </c>
      <c r="N644" s="19">
        <f t="shared" si="231"/>
        <v>51.001599999999996</v>
      </c>
      <c r="O644" s="19">
        <f t="shared" si="232"/>
        <v>51.001599999999996</v>
      </c>
      <c r="P644" s="19">
        <f t="shared" si="206"/>
        <v>102.00319999999999</v>
      </c>
      <c r="Q644" s="19">
        <f t="shared" si="233"/>
        <v>222.00319999999999</v>
      </c>
      <c r="R644" s="52"/>
    </row>
    <row r="645" spans="2:18" ht="138" x14ac:dyDescent="0.25">
      <c r="B645" s="51">
        <f>IF(F645&lt;&gt;"",1+MAX($B$22:B644),"")</f>
        <v>377</v>
      </c>
      <c r="C645" s="132"/>
      <c r="D645" s="10" t="s">
        <v>564</v>
      </c>
      <c r="E645" s="25" t="s">
        <v>90</v>
      </c>
      <c r="F645" s="41">
        <f>4</f>
        <v>4</v>
      </c>
      <c r="G645" s="94"/>
      <c r="H645" s="19">
        <v>86</v>
      </c>
      <c r="I645" s="19">
        <f t="shared" si="205"/>
        <v>344</v>
      </c>
      <c r="J645" s="17">
        <v>1</v>
      </c>
      <c r="K645" s="12">
        <f t="shared" si="230"/>
        <v>4</v>
      </c>
      <c r="L645" s="97" t="s">
        <v>668</v>
      </c>
      <c r="M645" s="98">
        <v>61.3</v>
      </c>
      <c r="N645" s="19">
        <f t="shared" si="231"/>
        <v>51.001599999999996</v>
      </c>
      <c r="O645" s="19">
        <f t="shared" si="232"/>
        <v>51.001599999999996</v>
      </c>
      <c r="P645" s="19">
        <f t="shared" si="206"/>
        <v>204.00639999999999</v>
      </c>
      <c r="Q645" s="19">
        <f t="shared" si="233"/>
        <v>548.00639999999999</v>
      </c>
      <c r="R645" s="52"/>
    </row>
    <row r="646" spans="2:18" ht="138" x14ac:dyDescent="0.25">
      <c r="B646" s="51">
        <f>IF(F646&lt;&gt;"",1+MAX($B$22:B645),"")</f>
        <v>378</v>
      </c>
      <c r="C646" s="132"/>
      <c r="D646" s="10" t="s">
        <v>565</v>
      </c>
      <c r="E646" s="25" t="s">
        <v>90</v>
      </c>
      <c r="F646" s="41">
        <f>1</f>
        <v>1</v>
      </c>
      <c r="G646" s="94"/>
      <c r="H646" s="19">
        <v>100</v>
      </c>
      <c r="I646" s="19">
        <f t="shared" si="205"/>
        <v>100</v>
      </c>
      <c r="J646" s="17">
        <v>1</v>
      </c>
      <c r="K646" s="12">
        <f t="shared" si="230"/>
        <v>1</v>
      </c>
      <c r="L646" s="97" t="s">
        <v>668</v>
      </c>
      <c r="M646" s="98">
        <v>61.3</v>
      </c>
      <c r="N646" s="19">
        <f t="shared" si="231"/>
        <v>51.001599999999996</v>
      </c>
      <c r="O646" s="19">
        <f t="shared" si="232"/>
        <v>51.001599999999996</v>
      </c>
      <c r="P646" s="19">
        <f t="shared" si="206"/>
        <v>51.001599999999996</v>
      </c>
      <c r="Q646" s="19">
        <f t="shared" si="233"/>
        <v>151.0016</v>
      </c>
      <c r="R646" s="52"/>
    </row>
    <row r="647" spans="2:18" ht="124.2" x14ac:dyDescent="0.25">
      <c r="B647" s="51">
        <f>IF(F647&lt;&gt;"",1+MAX($B$22:B646),"")</f>
        <v>379</v>
      </c>
      <c r="C647" s="132"/>
      <c r="D647" s="10" t="s">
        <v>566</v>
      </c>
      <c r="E647" s="25" t="s">
        <v>86</v>
      </c>
      <c r="F647" s="41">
        <f>4.25</f>
        <v>4.25</v>
      </c>
      <c r="G647" s="94"/>
      <c r="H647" s="19">
        <v>38</v>
      </c>
      <c r="I647" s="19">
        <f t="shared" si="205"/>
        <v>161.5</v>
      </c>
      <c r="J647" s="17">
        <v>1</v>
      </c>
      <c r="K647" s="12">
        <f t="shared" si="230"/>
        <v>4.25</v>
      </c>
      <c r="L647" s="97" t="s">
        <v>668</v>
      </c>
      <c r="M647" s="98">
        <v>61.3</v>
      </c>
      <c r="N647" s="19">
        <f t="shared" si="231"/>
        <v>51.001599999999996</v>
      </c>
      <c r="O647" s="19">
        <f t="shared" si="232"/>
        <v>51.001599999999996</v>
      </c>
      <c r="P647" s="19">
        <f t="shared" si="206"/>
        <v>216.7568</v>
      </c>
      <c r="Q647" s="19">
        <f t="shared" si="233"/>
        <v>378.2568</v>
      </c>
      <c r="R647" s="52"/>
    </row>
    <row r="648" spans="2:18" ht="165.6" x14ac:dyDescent="0.25">
      <c r="B648" s="51">
        <f>IF(F648&lt;&gt;"",1+MAX($B$22:B647),"")</f>
        <v>380</v>
      </c>
      <c r="C648" s="132"/>
      <c r="D648" s="10" t="s">
        <v>567</v>
      </c>
      <c r="E648" s="25" t="s">
        <v>86</v>
      </c>
      <c r="F648" s="41">
        <f t="shared" ref="F648:F649" si="235">4.25</f>
        <v>4.25</v>
      </c>
      <c r="G648" s="94"/>
      <c r="H648" s="19">
        <v>30</v>
      </c>
      <c r="I648" s="19">
        <f t="shared" si="205"/>
        <v>127.5</v>
      </c>
      <c r="J648" s="17">
        <v>1</v>
      </c>
      <c r="K648" s="12">
        <f t="shared" si="230"/>
        <v>4.25</v>
      </c>
      <c r="L648" s="97" t="s">
        <v>668</v>
      </c>
      <c r="M648" s="98">
        <v>61.3</v>
      </c>
      <c r="N648" s="19">
        <f t="shared" si="231"/>
        <v>51.001599999999996</v>
      </c>
      <c r="O648" s="19">
        <f t="shared" si="232"/>
        <v>51.001599999999996</v>
      </c>
      <c r="P648" s="19">
        <f t="shared" si="206"/>
        <v>216.7568</v>
      </c>
      <c r="Q648" s="19">
        <f t="shared" si="233"/>
        <v>344.2568</v>
      </c>
      <c r="R648" s="52"/>
    </row>
    <row r="649" spans="2:18" ht="110.4" x14ac:dyDescent="0.25">
      <c r="B649" s="51">
        <f>IF(F649&lt;&gt;"",1+MAX($B$22:B648),"")</f>
        <v>381</v>
      </c>
      <c r="C649" s="132"/>
      <c r="D649" s="10" t="s">
        <v>568</v>
      </c>
      <c r="E649" s="25" t="s">
        <v>86</v>
      </c>
      <c r="F649" s="41">
        <f t="shared" si="235"/>
        <v>4.25</v>
      </c>
      <c r="G649" s="94"/>
      <c r="H649" s="19">
        <v>7</v>
      </c>
      <c r="I649" s="19">
        <f t="shared" si="205"/>
        <v>29.75</v>
      </c>
      <c r="J649" s="17">
        <v>1</v>
      </c>
      <c r="K649" s="12">
        <f t="shared" si="230"/>
        <v>4.25</v>
      </c>
      <c r="L649" s="97" t="s">
        <v>668</v>
      </c>
      <c r="M649" s="98">
        <v>61.3</v>
      </c>
      <c r="N649" s="19">
        <f t="shared" si="231"/>
        <v>51.001599999999996</v>
      </c>
      <c r="O649" s="19">
        <f t="shared" si="232"/>
        <v>51.001599999999996</v>
      </c>
      <c r="P649" s="19">
        <f t="shared" si="206"/>
        <v>216.7568</v>
      </c>
      <c r="Q649" s="19">
        <f t="shared" si="233"/>
        <v>246.5068</v>
      </c>
      <c r="R649" s="52"/>
    </row>
    <row r="650" spans="2:18" ht="138" x14ac:dyDescent="0.25">
      <c r="B650" s="51">
        <f>IF(F650&lt;&gt;"",1+MAX($B$22:B649),"")</f>
        <v>382</v>
      </c>
      <c r="C650" s="132"/>
      <c r="D650" s="10" t="s">
        <v>569</v>
      </c>
      <c r="E650" s="25" t="s">
        <v>90</v>
      </c>
      <c r="F650" s="41">
        <f>1</f>
        <v>1</v>
      </c>
      <c r="G650" s="94"/>
      <c r="H650" s="19">
        <v>100</v>
      </c>
      <c r="I650" s="19">
        <f t="shared" si="205"/>
        <v>100</v>
      </c>
      <c r="J650" s="17">
        <v>1</v>
      </c>
      <c r="K650" s="12">
        <f t="shared" si="230"/>
        <v>1</v>
      </c>
      <c r="L650" s="97" t="s">
        <v>668</v>
      </c>
      <c r="M650" s="98">
        <v>61.3</v>
      </c>
      <c r="N650" s="19">
        <f t="shared" si="231"/>
        <v>51.001599999999996</v>
      </c>
      <c r="O650" s="19">
        <f t="shared" si="232"/>
        <v>51.001599999999996</v>
      </c>
      <c r="P650" s="19">
        <f t="shared" si="206"/>
        <v>51.001599999999996</v>
      </c>
      <c r="Q650" s="19">
        <f t="shared" si="233"/>
        <v>151.0016</v>
      </c>
      <c r="R650" s="52"/>
    </row>
    <row r="651" spans="2:18" ht="110.4" x14ac:dyDescent="0.25">
      <c r="B651" s="51">
        <f>IF(F651&lt;&gt;"",1+MAX($B$22:B650),"")</f>
        <v>383</v>
      </c>
      <c r="C651" s="132"/>
      <c r="D651" s="10" t="s">
        <v>570</v>
      </c>
      <c r="E651" s="25" t="s">
        <v>90</v>
      </c>
      <c r="F651" s="41">
        <f>4</f>
        <v>4</v>
      </c>
      <c r="G651" s="94"/>
      <c r="H651" s="19">
        <v>30</v>
      </c>
      <c r="I651" s="19">
        <f t="shared" si="205"/>
        <v>120</v>
      </c>
      <c r="J651" s="17">
        <v>1</v>
      </c>
      <c r="K651" s="12">
        <f t="shared" si="230"/>
        <v>4</v>
      </c>
      <c r="L651" s="97" t="s">
        <v>668</v>
      </c>
      <c r="M651" s="98">
        <v>61.3</v>
      </c>
      <c r="N651" s="19">
        <f t="shared" si="231"/>
        <v>51.001599999999996</v>
      </c>
      <c r="O651" s="19">
        <f t="shared" si="232"/>
        <v>51.001599999999996</v>
      </c>
      <c r="P651" s="19">
        <f t="shared" si="206"/>
        <v>204.00639999999999</v>
      </c>
      <c r="Q651" s="19">
        <f t="shared" si="233"/>
        <v>324.00639999999999</v>
      </c>
      <c r="R651" s="52"/>
    </row>
    <row r="652" spans="2:18" ht="165.6" x14ac:dyDescent="0.25">
      <c r="B652" s="51">
        <f>IF(F652&lt;&gt;"",1+MAX($B$22:B651),"")</f>
        <v>384</v>
      </c>
      <c r="C652" s="132"/>
      <c r="D652" s="10" t="s">
        <v>571</v>
      </c>
      <c r="E652" s="25" t="s">
        <v>86</v>
      </c>
      <c r="F652" s="41">
        <f>8</f>
        <v>8</v>
      </c>
      <c r="G652" s="94"/>
      <c r="H652" s="19">
        <v>150</v>
      </c>
      <c r="I652" s="19">
        <f t="shared" si="205"/>
        <v>1200</v>
      </c>
      <c r="J652" s="17">
        <v>1</v>
      </c>
      <c r="K652" s="12">
        <f t="shared" si="230"/>
        <v>8</v>
      </c>
      <c r="L652" s="97" t="s">
        <v>668</v>
      </c>
      <c r="M652" s="98">
        <v>61.3</v>
      </c>
      <c r="N652" s="19">
        <f t="shared" si="231"/>
        <v>51.001599999999996</v>
      </c>
      <c r="O652" s="19">
        <f t="shared" si="232"/>
        <v>51.001599999999996</v>
      </c>
      <c r="P652" s="19">
        <f t="shared" si="206"/>
        <v>408.01279999999997</v>
      </c>
      <c r="Q652" s="19">
        <f t="shared" si="233"/>
        <v>1608.0128</v>
      </c>
      <c r="R652" s="52"/>
    </row>
    <row r="653" spans="2:18" ht="165.6" x14ac:dyDescent="0.25">
      <c r="B653" s="51">
        <f>IF(F653&lt;&gt;"",1+MAX($B$22:B652),"")</f>
        <v>385</v>
      </c>
      <c r="C653" s="132"/>
      <c r="D653" s="10" t="s">
        <v>572</v>
      </c>
      <c r="E653" s="25" t="s">
        <v>86</v>
      </c>
      <c r="F653" s="41">
        <f>8</f>
        <v>8</v>
      </c>
      <c r="G653" s="94"/>
      <c r="H653" s="19">
        <v>55</v>
      </c>
      <c r="I653" s="19">
        <f t="shared" si="205"/>
        <v>440</v>
      </c>
      <c r="J653" s="17">
        <v>1</v>
      </c>
      <c r="K653" s="12">
        <f t="shared" si="230"/>
        <v>8</v>
      </c>
      <c r="L653" s="97" t="s">
        <v>668</v>
      </c>
      <c r="M653" s="98">
        <v>61.3</v>
      </c>
      <c r="N653" s="19">
        <f t="shared" si="231"/>
        <v>51.001599999999996</v>
      </c>
      <c r="O653" s="19">
        <f t="shared" si="232"/>
        <v>51.001599999999996</v>
      </c>
      <c r="P653" s="19">
        <f t="shared" si="206"/>
        <v>408.01279999999997</v>
      </c>
      <c r="Q653" s="19">
        <f t="shared" si="233"/>
        <v>848.01279999999997</v>
      </c>
      <c r="R653" s="52"/>
    </row>
    <row r="654" spans="2:18" x14ac:dyDescent="0.25">
      <c r="B654" s="51" t="str">
        <f>IF(F654&lt;&gt;"",1+MAX($B$22:B653),"")</f>
        <v/>
      </c>
      <c r="C654" s="55"/>
      <c r="D654" s="10"/>
      <c r="E654" s="25"/>
      <c r="F654" s="41"/>
      <c r="G654" s="19"/>
      <c r="H654" s="19">
        <f t="shared" si="229"/>
        <v>0</v>
      </c>
      <c r="I654" s="19">
        <f t="shared" si="205"/>
        <v>0</v>
      </c>
      <c r="J654" s="17"/>
      <c r="K654" s="12">
        <f t="shared" si="230"/>
        <v>0</v>
      </c>
      <c r="L654" s="12"/>
      <c r="M654" s="19"/>
      <c r="N654" s="19">
        <f t="shared" si="231"/>
        <v>0</v>
      </c>
      <c r="O654" s="19">
        <f t="shared" si="232"/>
        <v>0</v>
      </c>
      <c r="P654" s="19">
        <f t="shared" si="206"/>
        <v>0</v>
      </c>
      <c r="Q654" s="19">
        <f t="shared" si="233"/>
        <v>0</v>
      </c>
      <c r="R654" s="52"/>
    </row>
    <row r="655" spans="2:18" x14ac:dyDescent="0.25">
      <c r="B655" s="51" t="str">
        <f>IF(F655&lt;&gt;"",1+MAX($B$22:B654),"")</f>
        <v/>
      </c>
      <c r="C655" s="71"/>
      <c r="D655" s="72" t="s">
        <v>573</v>
      </c>
      <c r="E655" s="25"/>
      <c r="F655" s="41"/>
      <c r="G655" s="19"/>
      <c r="H655" s="19">
        <f t="shared" si="229"/>
        <v>0</v>
      </c>
      <c r="I655" s="19">
        <f t="shared" si="205"/>
        <v>0</v>
      </c>
      <c r="J655" s="17"/>
      <c r="K655" s="12">
        <f t="shared" si="230"/>
        <v>0</v>
      </c>
      <c r="L655" s="12"/>
      <c r="M655" s="19"/>
      <c r="N655" s="19">
        <f t="shared" si="231"/>
        <v>0</v>
      </c>
      <c r="O655" s="19">
        <f t="shared" si="232"/>
        <v>0</v>
      </c>
      <c r="P655" s="19">
        <f t="shared" si="206"/>
        <v>0</v>
      </c>
      <c r="Q655" s="19">
        <f t="shared" si="233"/>
        <v>0</v>
      </c>
      <c r="R655" s="52"/>
    </row>
    <row r="656" spans="2:18" ht="96.6" x14ac:dyDescent="0.25">
      <c r="B656" s="51">
        <f>IF(F656&lt;&gt;"",1+MAX($B$22:B655),"")</f>
        <v>386</v>
      </c>
      <c r="C656" s="132" t="s">
        <v>446</v>
      </c>
      <c r="D656" s="10" t="s">
        <v>574</v>
      </c>
      <c r="E656" s="25" t="s">
        <v>90</v>
      </c>
      <c r="F656" s="41">
        <f>4</f>
        <v>4</v>
      </c>
      <c r="G656" s="94"/>
      <c r="H656" s="19">
        <v>38</v>
      </c>
      <c r="I656" s="19">
        <f t="shared" ref="I656:I687" si="236">F656*H656</f>
        <v>152</v>
      </c>
      <c r="J656" s="17">
        <v>1</v>
      </c>
      <c r="K656" s="12">
        <f t="shared" si="230"/>
        <v>4</v>
      </c>
      <c r="L656" s="97" t="s">
        <v>668</v>
      </c>
      <c r="M656" s="98">
        <v>61.3</v>
      </c>
      <c r="N656" s="19">
        <f t="shared" si="231"/>
        <v>51.001599999999996</v>
      </c>
      <c r="O656" s="19">
        <f t="shared" si="232"/>
        <v>51.001599999999996</v>
      </c>
      <c r="P656" s="19">
        <f t="shared" si="206"/>
        <v>204.00639999999999</v>
      </c>
      <c r="Q656" s="19">
        <f t="shared" si="233"/>
        <v>356.00639999999999</v>
      </c>
      <c r="R656" s="52"/>
    </row>
    <row r="657" spans="2:18" ht="138" x14ac:dyDescent="0.25">
      <c r="B657" s="51">
        <f>IF(F657&lt;&gt;"",1+MAX($B$22:B656),"")</f>
        <v>387</v>
      </c>
      <c r="C657" s="132"/>
      <c r="D657" s="10" t="s">
        <v>575</v>
      </c>
      <c r="E657" s="25" t="s">
        <v>90</v>
      </c>
      <c r="F657" s="41">
        <f>3</f>
        <v>3</v>
      </c>
      <c r="G657" s="94"/>
      <c r="H657" s="19">
        <v>125</v>
      </c>
      <c r="I657" s="19">
        <f t="shared" si="236"/>
        <v>375</v>
      </c>
      <c r="J657" s="17">
        <v>1</v>
      </c>
      <c r="K657" s="12">
        <f t="shared" si="230"/>
        <v>3</v>
      </c>
      <c r="L657" s="97" t="s">
        <v>668</v>
      </c>
      <c r="M657" s="98">
        <v>61.3</v>
      </c>
      <c r="N657" s="19">
        <f t="shared" si="231"/>
        <v>51.001599999999996</v>
      </c>
      <c r="O657" s="19">
        <f t="shared" si="232"/>
        <v>51.001599999999996</v>
      </c>
      <c r="P657" s="19">
        <f t="shared" ref="P657:P687" si="237">F657*O657</f>
        <v>153.00479999999999</v>
      </c>
      <c r="Q657" s="19">
        <f t="shared" si="233"/>
        <v>528.00479999999993</v>
      </c>
      <c r="R657" s="52"/>
    </row>
    <row r="658" spans="2:18" ht="124.2" x14ac:dyDescent="0.25">
      <c r="B658" s="51">
        <f>IF(F658&lt;&gt;"",1+MAX($B$22:B657),"")</f>
        <v>388</v>
      </c>
      <c r="C658" s="132"/>
      <c r="D658" s="10" t="s">
        <v>576</v>
      </c>
      <c r="E658" s="25" t="s">
        <v>90</v>
      </c>
      <c r="F658" s="41">
        <f>2</f>
        <v>2</v>
      </c>
      <c r="G658" s="94"/>
      <c r="H658" s="19">
        <v>75</v>
      </c>
      <c r="I658" s="19">
        <f t="shared" si="236"/>
        <v>150</v>
      </c>
      <c r="J658" s="17">
        <v>1</v>
      </c>
      <c r="K658" s="12">
        <f t="shared" si="230"/>
        <v>2</v>
      </c>
      <c r="L658" s="97" t="s">
        <v>668</v>
      </c>
      <c r="M658" s="98">
        <v>61.3</v>
      </c>
      <c r="N658" s="19">
        <f t="shared" si="231"/>
        <v>51.001599999999996</v>
      </c>
      <c r="O658" s="19">
        <f t="shared" si="232"/>
        <v>51.001599999999996</v>
      </c>
      <c r="P658" s="19">
        <f t="shared" si="237"/>
        <v>102.00319999999999</v>
      </c>
      <c r="Q658" s="19">
        <f t="shared" si="233"/>
        <v>252.00319999999999</v>
      </c>
      <c r="R658" s="52"/>
    </row>
    <row r="659" spans="2:18" ht="110.4" x14ac:dyDescent="0.25">
      <c r="B659" s="51">
        <f>IF(F659&lt;&gt;"",1+MAX($B$22:B658),"")</f>
        <v>389</v>
      </c>
      <c r="C659" s="132"/>
      <c r="D659" s="10" t="s">
        <v>577</v>
      </c>
      <c r="E659" s="25" t="s">
        <v>90</v>
      </c>
      <c r="F659" s="41">
        <f>3</f>
        <v>3</v>
      </c>
      <c r="G659" s="94"/>
      <c r="H659" s="19">
        <v>30</v>
      </c>
      <c r="I659" s="19">
        <f t="shared" si="236"/>
        <v>90</v>
      </c>
      <c r="J659" s="17">
        <v>1</v>
      </c>
      <c r="K659" s="12">
        <f t="shared" si="230"/>
        <v>3</v>
      </c>
      <c r="L659" s="97" t="s">
        <v>668</v>
      </c>
      <c r="M659" s="98">
        <v>61.3</v>
      </c>
      <c r="N659" s="19">
        <f t="shared" si="231"/>
        <v>51.001599999999996</v>
      </c>
      <c r="O659" s="19">
        <f t="shared" si="232"/>
        <v>51.001599999999996</v>
      </c>
      <c r="P659" s="19">
        <f t="shared" si="237"/>
        <v>153.00479999999999</v>
      </c>
      <c r="Q659" s="19">
        <f t="shared" si="233"/>
        <v>243.00479999999999</v>
      </c>
      <c r="R659" s="52"/>
    </row>
    <row r="660" spans="2:18" ht="138" x14ac:dyDescent="0.25">
      <c r="B660" s="51">
        <f>IF(F660&lt;&gt;"",1+MAX($B$22:B659),"")</f>
        <v>390</v>
      </c>
      <c r="C660" s="132"/>
      <c r="D660" s="10" t="s">
        <v>578</v>
      </c>
      <c r="E660" s="25" t="s">
        <v>90</v>
      </c>
      <c r="F660" s="41">
        <f>1</f>
        <v>1</v>
      </c>
      <c r="G660" s="94"/>
      <c r="H660" s="19">
        <v>100</v>
      </c>
      <c r="I660" s="19">
        <f t="shared" si="236"/>
        <v>100</v>
      </c>
      <c r="J660" s="17">
        <v>1</v>
      </c>
      <c r="K660" s="12">
        <f t="shared" si="230"/>
        <v>1</v>
      </c>
      <c r="L660" s="97" t="s">
        <v>668</v>
      </c>
      <c r="M660" s="98">
        <v>61.3</v>
      </c>
      <c r="N660" s="19">
        <f t="shared" si="231"/>
        <v>51.001599999999996</v>
      </c>
      <c r="O660" s="19">
        <f t="shared" si="232"/>
        <v>51.001599999999996</v>
      </c>
      <c r="P660" s="19">
        <f t="shared" si="237"/>
        <v>51.001599999999996</v>
      </c>
      <c r="Q660" s="19">
        <f t="shared" si="233"/>
        <v>151.0016</v>
      </c>
      <c r="R660" s="52"/>
    </row>
    <row r="661" spans="2:18" ht="138" x14ac:dyDescent="0.25">
      <c r="B661" s="51">
        <f>IF(F661&lt;&gt;"",1+MAX($B$22:B660),"")</f>
        <v>391</v>
      </c>
      <c r="C661" s="132"/>
      <c r="D661" s="10" t="s">
        <v>579</v>
      </c>
      <c r="E661" s="25" t="s">
        <v>90</v>
      </c>
      <c r="F661" s="41">
        <f>1</f>
        <v>1</v>
      </c>
      <c r="G661" s="94"/>
      <c r="H661" s="19">
        <v>71</v>
      </c>
      <c r="I661" s="19">
        <f t="shared" si="236"/>
        <v>71</v>
      </c>
      <c r="J661" s="17">
        <v>1</v>
      </c>
      <c r="K661" s="12">
        <f t="shared" si="230"/>
        <v>1</v>
      </c>
      <c r="L661" s="97" t="s">
        <v>668</v>
      </c>
      <c r="M661" s="98">
        <v>61.3</v>
      </c>
      <c r="N661" s="19">
        <f t="shared" si="231"/>
        <v>51.001599999999996</v>
      </c>
      <c r="O661" s="19">
        <f t="shared" si="232"/>
        <v>51.001599999999996</v>
      </c>
      <c r="P661" s="19">
        <f t="shared" si="237"/>
        <v>51.001599999999996</v>
      </c>
      <c r="Q661" s="19">
        <f t="shared" si="233"/>
        <v>122.0016</v>
      </c>
      <c r="R661" s="52"/>
    </row>
    <row r="662" spans="2:18" ht="138" x14ac:dyDescent="0.25">
      <c r="B662" s="51">
        <f>IF(F662&lt;&gt;"",1+MAX($B$22:B661),"")</f>
        <v>392</v>
      </c>
      <c r="C662" s="132"/>
      <c r="D662" s="10" t="s">
        <v>580</v>
      </c>
      <c r="E662" s="25" t="s">
        <v>90</v>
      </c>
      <c r="F662" s="41">
        <f>4</f>
        <v>4</v>
      </c>
      <c r="G662" s="94"/>
      <c r="H662" s="19">
        <v>94</v>
      </c>
      <c r="I662" s="19">
        <f t="shared" si="236"/>
        <v>376</v>
      </c>
      <c r="J662" s="17">
        <v>1</v>
      </c>
      <c r="K662" s="12">
        <f t="shared" si="230"/>
        <v>4</v>
      </c>
      <c r="L662" s="97" t="s">
        <v>668</v>
      </c>
      <c r="M662" s="98">
        <v>61.3</v>
      </c>
      <c r="N662" s="19">
        <f t="shared" si="231"/>
        <v>51.001599999999996</v>
      </c>
      <c r="O662" s="19">
        <f t="shared" si="232"/>
        <v>51.001599999999996</v>
      </c>
      <c r="P662" s="19">
        <f t="shared" si="237"/>
        <v>204.00639999999999</v>
      </c>
      <c r="Q662" s="19">
        <f t="shared" si="233"/>
        <v>580.00639999999999</v>
      </c>
      <c r="R662" s="52"/>
    </row>
    <row r="663" spans="2:18" ht="110.4" x14ac:dyDescent="0.25">
      <c r="B663" s="51">
        <f>IF(F663&lt;&gt;"",1+MAX($B$22:B662),"")</f>
        <v>393</v>
      </c>
      <c r="C663" s="132"/>
      <c r="D663" s="10" t="s">
        <v>581</v>
      </c>
      <c r="E663" s="25" t="s">
        <v>90</v>
      </c>
      <c r="F663" s="41">
        <f>1</f>
        <v>1</v>
      </c>
      <c r="G663" s="94"/>
      <c r="H663" s="19">
        <v>90</v>
      </c>
      <c r="I663" s="19">
        <f t="shared" si="236"/>
        <v>90</v>
      </c>
      <c r="J663" s="17">
        <v>1</v>
      </c>
      <c r="K663" s="12">
        <f t="shared" si="230"/>
        <v>1</v>
      </c>
      <c r="L663" s="97" t="s">
        <v>668</v>
      </c>
      <c r="M663" s="98">
        <v>61.3</v>
      </c>
      <c r="N663" s="19">
        <f t="shared" si="231"/>
        <v>51.001599999999996</v>
      </c>
      <c r="O663" s="19">
        <f t="shared" si="232"/>
        <v>51.001599999999996</v>
      </c>
      <c r="P663" s="19">
        <f t="shared" si="237"/>
        <v>51.001599999999996</v>
      </c>
      <c r="Q663" s="19">
        <f t="shared" si="233"/>
        <v>141.0016</v>
      </c>
      <c r="R663" s="52"/>
    </row>
    <row r="664" spans="2:18" ht="138" x14ac:dyDescent="0.25">
      <c r="B664" s="51">
        <f>IF(F664&lt;&gt;"",1+MAX($B$22:B663),"")</f>
        <v>394</v>
      </c>
      <c r="C664" s="132"/>
      <c r="D664" s="10" t="s">
        <v>582</v>
      </c>
      <c r="E664" s="25" t="s">
        <v>90</v>
      </c>
      <c r="F664" s="41">
        <f>1</f>
        <v>1</v>
      </c>
      <c r="G664" s="94"/>
      <c r="H664" s="19">
        <v>125</v>
      </c>
      <c r="I664" s="19">
        <f t="shared" si="236"/>
        <v>125</v>
      </c>
      <c r="J664" s="17">
        <v>1</v>
      </c>
      <c r="K664" s="12">
        <f t="shared" si="230"/>
        <v>1</v>
      </c>
      <c r="L664" s="97" t="s">
        <v>668</v>
      </c>
      <c r="M664" s="98">
        <v>61.3</v>
      </c>
      <c r="N664" s="19">
        <f t="shared" si="231"/>
        <v>51.001599999999996</v>
      </c>
      <c r="O664" s="19">
        <f t="shared" si="232"/>
        <v>51.001599999999996</v>
      </c>
      <c r="P664" s="19">
        <f t="shared" si="237"/>
        <v>51.001599999999996</v>
      </c>
      <c r="Q664" s="19">
        <f t="shared" si="233"/>
        <v>176.0016</v>
      </c>
      <c r="R664" s="52"/>
    </row>
    <row r="665" spans="2:18" ht="138" x14ac:dyDescent="0.25">
      <c r="B665" s="51">
        <f>IF(F665&lt;&gt;"",1+MAX($B$22:B664),"")</f>
        <v>395</v>
      </c>
      <c r="C665" s="132"/>
      <c r="D665" s="10" t="s">
        <v>583</v>
      </c>
      <c r="E665" s="25" t="s">
        <v>90</v>
      </c>
      <c r="F665" s="41">
        <f>2</f>
        <v>2</v>
      </c>
      <c r="G665" s="94"/>
      <c r="H665" s="19">
        <v>82</v>
      </c>
      <c r="I665" s="19">
        <f t="shared" si="236"/>
        <v>164</v>
      </c>
      <c r="J665" s="17">
        <v>1</v>
      </c>
      <c r="K665" s="12">
        <f t="shared" si="230"/>
        <v>2</v>
      </c>
      <c r="L665" s="97" t="s">
        <v>668</v>
      </c>
      <c r="M665" s="98">
        <v>61.3</v>
      </c>
      <c r="N665" s="19">
        <f t="shared" si="231"/>
        <v>51.001599999999996</v>
      </c>
      <c r="O665" s="19">
        <f t="shared" si="232"/>
        <v>51.001599999999996</v>
      </c>
      <c r="P665" s="19">
        <f t="shared" si="237"/>
        <v>102.00319999999999</v>
      </c>
      <c r="Q665" s="19">
        <f t="shared" si="233"/>
        <v>266.00319999999999</v>
      </c>
      <c r="R665" s="52"/>
    </row>
    <row r="666" spans="2:18" ht="82.8" x14ac:dyDescent="0.25">
      <c r="B666" s="51">
        <f>IF(F666&lt;&gt;"",1+MAX($B$22:B665),"")</f>
        <v>396</v>
      </c>
      <c r="C666" s="132"/>
      <c r="D666" s="10" t="s">
        <v>584</v>
      </c>
      <c r="E666" s="25" t="s">
        <v>90</v>
      </c>
      <c r="F666" s="41">
        <f>1</f>
        <v>1</v>
      </c>
      <c r="G666" s="19">
        <v>120</v>
      </c>
      <c r="H666" s="19">
        <f t="shared" si="229"/>
        <v>122.16</v>
      </c>
      <c r="I666" s="19">
        <f t="shared" si="236"/>
        <v>122.16</v>
      </c>
      <c r="J666" s="17">
        <v>1</v>
      </c>
      <c r="K666" s="12">
        <f t="shared" si="230"/>
        <v>1</v>
      </c>
      <c r="L666" s="97" t="s">
        <v>668</v>
      </c>
      <c r="M666" s="98">
        <v>61.3</v>
      </c>
      <c r="N666" s="19">
        <f t="shared" si="231"/>
        <v>51.001599999999996</v>
      </c>
      <c r="O666" s="19">
        <f t="shared" si="232"/>
        <v>51.001599999999996</v>
      </c>
      <c r="P666" s="19">
        <f t="shared" si="237"/>
        <v>51.001599999999996</v>
      </c>
      <c r="Q666" s="19">
        <f t="shared" si="233"/>
        <v>173.16159999999999</v>
      </c>
      <c r="R666" s="52"/>
    </row>
    <row r="667" spans="2:18" x14ac:dyDescent="0.25">
      <c r="B667" s="51">
        <f>IF(F667&lt;&gt;"",1+MAX($B$22:B666),"")</f>
        <v>397</v>
      </c>
      <c r="C667" s="132"/>
      <c r="D667" s="10" t="s">
        <v>585</v>
      </c>
      <c r="E667" s="25" t="s">
        <v>90</v>
      </c>
      <c r="F667" s="41">
        <f>1</f>
        <v>1</v>
      </c>
      <c r="G667" s="19">
        <v>140</v>
      </c>
      <c r="H667" s="19">
        <f t="shared" si="229"/>
        <v>142.52000000000001</v>
      </c>
      <c r="I667" s="19">
        <f t="shared" si="236"/>
        <v>142.52000000000001</v>
      </c>
      <c r="J667" s="17">
        <v>1</v>
      </c>
      <c r="K667" s="12">
        <f t="shared" si="230"/>
        <v>1</v>
      </c>
      <c r="L667" s="97" t="s">
        <v>668</v>
      </c>
      <c r="M667" s="98">
        <v>61.3</v>
      </c>
      <c r="N667" s="19">
        <f t="shared" si="231"/>
        <v>51.001599999999996</v>
      </c>
      <c r="O667" s="19">
        <f t="shared" si="232"/>
        <v>51.001599999999996</v>
      </c>
      <c r="P667" s="19">
        <f t="shared" si="237"/>
        <v>51.001599999999996</v>
      </c>
      <c r="Q667" s="19">
        <f t="shared" si="233"/>
        <v>193.52160000000001</v>
      </c>
      <c r="R667" s="52"/>
    </row>
    <row r="668" spans="2:18" x14ac:dyDescent="0.25">
      <c r="B668" s="51">
        <f>IF(F668&lt;&gt;"",1+MAX($B$22:B667),"")</f>
        <v>398</v>
      </c>
      <c r="C668" s="132"/>
      <c r="D668" s="10" t="s">
        <v>586</v>
      </c>
      <c r="E668" s="25" t="s">
        <v>90</v>
      </c>
      <c r="F668" s="41">
        <f>12</f>
        <v>12</v>
      </c>
      <c r="G668" s="19">
        <v>165</v>
      </c>
      <c r="H668" s="19">
        <f t="shared" si="229"/>
        <v>167.97</v>
      </c>
      <c r="I668" s="19">
        <f t="shared" si="236"/>
        <v>2015.6399999999999</v>
      </c>
      <c r="J668" s="17">
        <v>1</v>
      </c>
      <c r="K668" s="12">
        <f t="shared" si="230"/>
        <v>12</v>
      </c>
      <c r="L668" s="97" t="s">
        <v>668</v>
      </c>
      <c r="M668" s="98">
        <v>61.3</v>
      </c>
      <c r="N668" s="19">
        <f t="shared" si="231"/>
        <v>51.001599999999996</v>
      </c>
      <c r="O668" s="19">
        <f t="shared" si="232"/>
        <v>51.001599999999996</v>
      </c>
      <c r="P668" s="19">
        <f t="shared" si="237"/>
        <v>612.01919999999996</v>
      </c>
      <c r="Q668" s="19">
        <f t="shared" si="233"/>
        <v>2627.6592000000001</v>
      </c>
      <c r="R668" s="52"/>
    </row>
    <row r="669" spans="2:18" x14ac:dyDescent="0.25">
      <c r="B669" s="51" t="str">
        <f>IF(F669&lt;&gt;"",1+MAX($B$22:B668),"")</f>
        <v/>
      </c>
      <c r="C669" s="55"/>
      <c r="D669" s="10"/>
      <c r="E669" s="25"/>
      <c r="F669" s="41"/>
      <c r="G669" s="19"/>
      <c r="H669" s="19">
        <f t="shared" si="229"/>
        <v>0</v>
      </c>
      <c r="I669" s="19">
        <f t="shared" si="236"/>
        <v>0</v>
      </c>
      <c r="J669" s="17"/>
      <c r="K669" s="12">
        <f t="shared" si="230"/>
        <v>0</v>
      </c>
      <c r="L669" s="12"/>
      <c r="M669" s="19"/>
      <c r="N669" s="19">
        <f t="shared" si="231"/>
        <v>0</v>
      </c>
      <c r="O669" s="19">
        <f t="shared" si="232"/>
        <v>0</v>
      </c>
      <c r="P669" s="19">
        <f t="shared" si="237"/>
        <v>0</v>
      </c>
      <c r="Q669" s="19">
        <f t="shared" si="233"/>
        <v>0</v>
      </c>
      <c r="R669" s="52"/>
    </row>
    <row r="670" spans="2:18" x14ac:dyDescent="0.25">
      <c r="B670" s="70" t="str">
        <f>IF(F670&lt;&gt;"",1+MAX($B$22:B669),"")</f>
        <v/>
      </c>
      <c r="C670" s="71"/>
      <c r="D670" s="72" t="s">
        <v>587</v>
      </c>
      <c r="E670" s="25"/>
      <c r="F670" s="41"/>
      <c r="G670" s="19"/>
      <c r="H670" s="19">
        <f t="shared" si="229"/>
        <v>0</v>
      </c>
      <c r="I670" s="19">
        <f t="shared" si="236"/>
        <v>0</v>
      </c>
      <c r="J670" s="17"/>
      <c r="K670" s="12">
        <f t="shared" si="230"/>
        <v>0</v>
      </c>
      <c r="L670" s="12"/>
      <c r="M670" s="19"/>
      <c r="N670" s="19">
        <f t="shared" si="231"/>
        <v>0</v>
      </c>
      <c r="O670" s="19">
        <f t="shared" si="232"/>
        <v>0</v>
      </c>
      <c r="P670" s="19">
        <f t="shared" si="237"/>
        <v>0</v>
      </c>
      <c r="Q670" s="19">
        <f t="shared" si="233"/>
        <v>0</v>
      </c>
      <c r="R670" s="52"/>
    </row>
    <row r="671" spans="2:18" x14ac:dyDescent="0.25">
      <c r="B671" s="51">
        <f>IF(F671&lt;&gt;"",1+MAX($B$22:B670),"")</f>
        <v>399</v>
      </c>
      <c r="C671" s="55" t="s">
        <v>446</v>
      </c>
      <c r="D671" s="10" t="s">
        <v>588</v>
      </c>
      <c r="E671" s="25" t="s">
        <v>90</v>
      </c>
      <c r="F671" s="41">
        <f>3</f>
        <v>3</v>
      </c>
      <c r="G671" s="100">
        <v>95</v>
      </c>
      <c r="H671" s="100">
        <f t="shared" si="229"/>
        <v>96.710000000000008</v>
      </c>
      <c r="I671" s="100">
        <f t="shared" si="236"/>
        <v>290.13</v>
      </c>
      <c r="J671" s="101">
        <v>0.59699999999999998</v>
      </c>
      <c r="K671" s="102">
        <f t="shared" si="230"/>
        <v>1.7909999999999999</v>
      </c>
      <c r="L671" s="102" t="s">
        <v>668</v>
      </c>
      <c r="M671" s="100">
        <v>61.3</v>
      </c>
      <c r="N671" s="19">
        <f t="shared" si="231"/>
        <v>51.001599999999996</v>
      </c>
      <c r="O671" s="19">
        <f t="shared" si="232"/>
        <v>30.447955199999996</v>
      </c>
      <c r="P671" s="19">
        <f t="shared" si="237"/>
        <v>91.343865599999987</v>
      </c>
      <c r="Q671" s="19">
        <f t="shared" si="233"/>
        <v>381.47386559999995</v>
      </c>
      <c r="R671" s="52"/>
    </row>
    <row r="672" spans="2:18" x14ac:dyDescent="0.25">
      <c r="B672" s="51" t="str">
        <f>IF(F672&lt;&gt;"",1+MAX($B$22:B671),"")</f>
        <v/>
      </c>
      <c r="C672" s="55"/>
      <c r="D672" s="10"/>
      <c r="E672" s="25"/>
      <c r="F672" s="41"/>
      <c r="G672" s="19"/>
      <c r="H672" s="19">
        <f t="shared" si="229"/>
        <v>0</v>
      </c>
      <c r="I672" s="19">
        <f t="shared" si="236"/>
        <v>0</v>
      </c>
      <c r="J672" s="17"/>
      <c r="K672" s="12">
        <f t="shared" si="230"/>
        <v>0</v>
      </c>
      <c r="L672" s="12"/>
      <c r="M672" s="19"/>
      <c r="N672" s="19">
        <f t="shared" si="231"/>
        <v>0</v>
      </c>
      <c r="O672" s="19">
        <f t="shared" si="232"/>
        <v>0</v>
      </c>
      <c r="P672" s="19">
        <f t="shared" si="237"/>
        <v>0</v>
      </c>
      <c r="Q672" s="19">
        <f t="shared" si="233"/>
        <v>0</v>
      </c>
      <c r="R672" s="52"/>
    </row>
    <row r="673" spans="2:19" x14ac:dyDescent="0.25">
      <c r="B673" s="70" t="str">
        <f>IF(F673&lt;&gt;"",1+MAX($B$22:B672),"")</f>
        <v/>
      </c>
      <c r="C673" s="71"/>
      <c r="D673" s="72" t="s">
        <v>589</v>
      </c>
      <c r="E673" s="25"/>
      <c r="F673" s="41"/>
      <c r="G673" s="19"/>
      <c r="H673" s="19">
        <f t="shared" si="229"/>
        <v>0</v>
      </c>
      <c r="I673" s="19">
        <f t="shared" si="236"/>
        <v>0</v>
      </c>
      <c r="J673" s="17"/>
      <c r="K673" s="12">
        <f t="shared" si="230"/>
        <v>0</v>
      </c>
      <c r="L673" s="12"/>
      <c r="M673" s="19"/>
      <c r="N673" s="19">
        <f t="shared" si="231"/>
        <v>0</v>
      </c>
      <c r="O673" s="19">
        <f t="shared" si="232"/>
        <v>0</v>
      </c>
      <c r="P673" s="19">
        <f t="shared" si="237"/>
        <v>0</v>
      </c>
      <c r="Q673" s="19">
        <f t="shared" si="233"/>
        <v>0</v>
      </c>
      <c r="R673" s="52"/>
    </row>
    <row r="674" spans="2:19" x14ac:dyDescent="0.25">
      <c r="B674" s="51">
        <f>IF(F674&lt;&gt;"",1+MAX($B$22:B673),"")</f>
        <v>400</v>
      </c>
      <c r="C674" s="132" t="s">
        <v>446</v>
      </c>
      <c r="D674" s="10" t="s">
        <v>590</v>
      </c>
      <c r="E674" s="25" t="s">
        <v>90</v>
      </c>
      <c r="F674" s="41">
        <f>2</f>
        <v>2</v>
      </c>
      <c r="G674" s="100">
        <v>88</v>
      </c>
      <c r="H674" s="100">
        <f t="shared" ref="H674:H687" si="238">G674*$T$2</f>
        <v>89.584000000000003</v>
      </c>
      <c r="I674" s="100">
        <f t="shared" si="236"/>
        <v>179.16800000000001</v>
      </c>
      <c r="J674" s="101">
        <v>1.0029999999999999</v>
      </c>
      <c r="K674" s="102">
        <f t="shared" ref="K674:K687" si="239">F674*J674</f>
        <v>2.0059999999999998</v>
      </c>
      <c r="L674" s="102" t="s">
        <v>668</v>
      </c>
      <c r="M674" s="100">
        <v>61.3</v>
      </c>
      <c r="N674" s="19">
        <f t="shared" ref="N674:N687" si="240">M674*$U$2</f>
        <v>51.001599999999996</v>
      </c>
      <c r="O674" s="19">
        <f t="shared" ref="O674:O687" si="241">J674*N674</f>
        <v>51.154604799999994</v>
      </c>
      <c r="P674" s="19">
        <f t="shared" si="237"/>
        <v>102.30920959999999</v>
      </c>
      <c r="Q674" s="19">
        <f t="shared" ref="Q674:Q687" si="242">I674+P674</f>
        <v>281.47720959999998</v>
      </c>
      <c r="R674" s="52"/>
    </row>
    <row r="675" spans="2:19" x14ac:dyDescent="0.25">
      <c r="B675" s="51">
        <f>IF(F675&lt;&gt;"",1+MAX($B$22:B674),"")</f>
        <v>401</v>
      </c>
      <c r="C675" s="132"/>
      <c r="D675" s="10" t="s">
        <v>591</v>
      </c>
      <c r="E675" s="25" t="s">
        <v>90</v>
      </c>
      <c r="F675" s="41">
        <f>14</f>
        <v>14</v>
      </c>
      <c r="G675" s="100">
        <v>88</v>
      </c>
      <c r="H675" s="100">
        <f t="shared" si="238"/>
        <v>89.584000000000003</v>
      </c>
      <c r="I675" s="100">
        <f t="shared" si="236"/>
        <v>1254.1759999999999</v>
      </c>
      <c r="J675" s="101">
        <v>1.0029999999999999</v>
      </c>
      <c r="K675" s="102">
        <f t="shared" si="239"/>
        <v>14.041999999999998</v>
      </c>
      <c r="L675" s="102" t="s">
        <v>668</v>
      </c>
      <c r="M675" s="100">
        <v>61.3</v>
      </c>
      <c r="N675" s="19">
        <f t="shared" si="240"/>
        <v>51.001599999999996</v>
      </c>
      <c r="O675" s="19">
        <f t="shared" si="241"/>
        <v>51.154604799999994</v>
      </c>
      <c r="P675" s="19">
        <f t="shared" si="237"/>
        <v>716.16446719999988</v>
      </c>
      <c r="Q675" s="19">
        <f t="shared" si="242"/>
        <v>1970.3404671999997</v>
      </c>
      <c r="R675" s="52"/>
    </row>
    <row r="676" spans="2:19" x14ac:dyDescent="0.25">
      <c r="B676" s="51">
        <f>IF(F676&lt;&gt;"",1+MAX($B$22:B675),"")</f>
        <v>402</v>
      </c>
      <c r="C676" s="132"/>
      <c r="D676" s="10" t="s">
        <v>592</v>
      </c>
      <c r="E676" s="25" t="s">
        <v>90</v>
      </c>
      <c r="F676" s="41">
        <f>3</f>
        <v>3</v>
      </c>
      <c r="G676" s="103"/>
      <c r="H676" s="103">
        <f t="shared" si="238"/>
        <v>0</v>
      </c>
      <c r="I676" s="103">
        <f t="shared" si="236"/>
        <v>0</v>
      </c>
      <c r="J676" s="101">
        <v>1.0029999999999999</v>
      </c>
      <c r="K676" s="102">
        <f t="shared" si="239"/>
        <v>3.0089999999999995</v>
      </c>
      <c r="L676" s="102" t="s">
        <v>668</v>
      </c>
      <c r="M676" s="100">
        <v>61.3</v>
      </c>
      <c r="N676" s="19">
        <f t="shared" si="240"/>
        <v>51.001599999999996</v>
      </c>
      <c r="O676" s="19">
        <f t="shared" si="241"/>
        <v>51.154604799999994</v>
      </c>
      <c r="P676" s="19">
        <f t="shared" si="237"/>
        <v>153.46381439999999</v>
      </c>
      <c r="Q676" s="19">
        <f t="shared" si="242"/>
        <v>153.46381439999999</v>
      </c>
      <c r="R676" s="52"/>
    </row>
    <row r="677" spans="2:19" x14ac:dyDescent="0.25">
      <c r="B677" s="51">
        <f>IF(F677&lt;&gt;"",1+MAX($B$22:B676),"")</f>
        <v>403</v>
      </c>
      <c r="C677" s="132"/>
      <c r="D677" s="10" t="s">
        <v>593</v>
      </c>
      <c r="E677" s="25" t="s">
        <v>90</v>
      </c>
      <c r="F677" s="41">
        <f>1</f>
        <v>1</v>
      </c>
      <c r="G677" s="100">
        <v>88</v>
      </c>
      <c r="H677" s="100">
        <f t="shared" si="238"/>
        <v>89.584000000000003</v>
      </c>
      <c r="I677" s="100">
        <f t="shared" si="236"/>
        <v>89.584000000000003</v>
      </c>
      <c r="J677" s="101">
        <v>1.0029999999999999</v>
      </c>
      <c r="K677" s="102">
        <f t="shared" si="239"/>
        <v>1.0029999999999999</v>
      </c>
      <c r="L677" s="102" t="s">
        <v>668</v>
      </c>
      <c r="M677" s="100">
        <v>61.3</v>
      </c>
      <c r="N677" s="19">
        <f t="shared" si="240"/>
        <v>51.001599999999996</v>
      </c>
      <c r="O677" s="19">
        <f t="shared" si="241"/>
        <v>51.154604799999994</v>
      </c>
      <c r="P677" s="19">
        <f t="shared" si="237"/>
        <v>51.154604799999994</v>
      </c>
      <c r="Q677" s="19">
        <f t="shared" si="242"/>
        <v>140.73860479999999</v>
      </c>
      <c r="R677" s="52"/>
    </row>
    <row r="678" spans="2:19" x14ac:dyDescent="0.25">
      <c r="B678" s="51" t="str">
        <f>IF(F678&lt;&gt;"",1+MAX($B$22:B677),"")</f>
        <v/>
      </c>
      <c r="C678" s="55"/>
      <c r="D678" s="10"/>
      <c r="E678" s="25"/>
      <c r="F678" s="41"/>
      <c r="G678" s="19"/>
      <c r="H678" s="19">
        <f t="shared" si="238"/>
        <v>0</v>
      </c>
      <c r="I678" s="19">
        <f t="shared" si="236"/>
        <v>0</v>
      </c>
      <c r="J678" s="17"/>
      <c r="K678" s="12">
        <f t="shared" si="239"/>
        <v>0</v>
      </c>
      <c r="L678" s="12"/>
      <c r="M678" s="19"/>
      <c r="N678" s="19">
        <f t="shared" si="240"/>
        <v>0</v>
      </c>
      <c r="O678" s="19">
        <f t="shared" si="241"/>
        <v>0</v>
      </c>
      <c r="P678" s="19">
        <f t="shared" si="237"/>
        <v>0</v>
      </c>
      <c r="Q678" s="19">
        <f t="shared" si="242"/>
        <v>0</v>
      </c>
      <c r="R678" s="52"/>
    </row>
    <row r="679" spans="2:19" x14ac:dyDescent="0.25">
      <c r="B679" s="70" t="str">
        <f>IF(F679&lt;&gt;"",1+MAX($B$22:B678),"")</f>
        <v/>
      </c>
      <c r="C679" s="71"/>
      <c r="D679" s="72" t="s">
        <v>607</v>
      </c>
      <c r="E679" s="25"/>
      <c r="F679" s="41"/>
      <c r="G679" s="19"/>
      <c r="H679" s="19">
        <f t="shared" si="238"/>
        <v>0</v>
      </c>
      <c r="I679" s="19">
        <f t="shared" si="236"/>
        <v>0</v>
      </c>
      <c r="J679" s="17"/>
      <c r="K679" s="12">
        <f t="shared" si="239"/>
        <v>0</v>
      </c>
      <c r="L679" s="12"/>
      <c r="M679" s="19"/>
      <c r="N679" s="19">
        <f t="shared" si="240"/>
        <v>0</v>
      </c>
      <c r="O679" s="19">
        <f t="shared" si="241"/>
        <v>0</v>
      </c>
      <c r="P679" s="19">
        <f t="shared" si="237"/>
        <v>0</v>
      </c>
      <c r="Q679" s="19">
        <f t="shared" si="242"/>
        <v>0</v>
      </c>
      <c r="R679" s="52"/>
    </row>
    <row r="680" spans="2:19" x14ac:dyDescent="0.25">
      <c r="B680" s="51">
        <f>IF(F680&lt;&gt;"",1+MAX($B$22:B679),"")</f>
        <v>404</v>
      </c>
      <c r="C680" s="55" t="s">
        <v>446</v>
      </c>
      <c r="D680" s="10" t="s">
        <v>606</v>
      </c>
      <c r="E680" s="25" t="s">
        <v>90</v>
      </c>
      <c r="F680" s="41">
        <f>9</f>
        <v>9</v>
      </c>
      <c r="G680" s="19">
        <v>240</v>
      </c>
      <c r="H680" s="19">
        <f t="shared" si="238"/>
        <v>244.32</v>
      </c>
      <c r="I680" s="19">
        <f t="shared" si="236"/>
        <v>2198.88</v>
      </c>
      <c r="J680" s="17">
        <v>1.65</v>
      </c>
      <c r="K680" s="12">
        <f t="shared" si="239"/>
        <v>14.85</v>
      </c>
      <c r="L680" s="102" t="s">
        <v>668</v>
      </c>
      <c r="M680" s="100">
        <v>61.3</v>
      </c>
      <c r="N680" s="19">
        <f t="shared" si="240"/>
        <v>51.001599999999996</v>
      </c>
      <c r="O680" s="19">
        <f t="shared" si="241"/>
        <v>84.152639999999991</v>
      </c>
      <c r="P680" s="19">
        <f t="shared" si="237"/>
        <v>757.37375999999995</v>
      </c>
      <c r="Q680" s="19">
        <f t="shared" si="242"/>
        <v>2956.2537600000001</v>
      </c>
      <c r="R680" s="52"/>
    </row>
    <row r="681" spans="2:19" x14ac:dyDescent="0.25">
      <c r="B681" s="51" t="str">
        <f>IF(F681&lt;&gt;"",1+MAX($B$22:B680),"")</f>
        <v/>
      </c>
      <c r="C681" s="55"/>
      <c r="D681" s="10"/>
      <c r="E681" s="25"/>
      <c r="F681" s="41"/>
      <c r="G681" s="19"/>
      <c r="H681" s="19">
        <f t="shared" si="238"/>
        <v>0</v>
      </c>
      <c r="I681" s="19">
        <f t="shared" si="236"/>
        <v>0</v>
      </c>
      <c r="J681" s="17"/>
      <c r="K681" s="12">
        <f t="shared" si="239"/>
        <v>0</v>
      </c>
      <c r="L681" s="12"/>
      <c r="M681" s="19"/>
      <c r="N681" s="19">
        <f t="shared" si="240"/>
        <v>0</v>
      </c>
      <c r="O681" s="19">
        <f t="shared" si="241"/>
        <v>0</v>
      </c>
      <c r="P681" s="19">
        <f t="shared" si="237"/>
        <v>0</v>
      </c>
      <c r="Q681" s="19">
        <f t="shared" si="242"/>
        <v>0</v>
      </c>
      <c r="R681" s="52"/>
    </row>
    <row r="682" spans="2:19" x14ac:dyDescent="0.25">
      <c r="B682" s="70" t="str">
        <f>IF(F682&lt;&gt;"",1+MAX($B$22:B681),"")</f>
        <v/>
      </c>
      <c r="C682" s="71"/>
      <c r="D682" s="72" t="s">
        <v>594</v>
      </c>
      <c r="E682" s="25"/>
      <c r="F682" s="41"/>
      <c r="G682" s="19"/>
      <c r="H682" s="19">
        <f t="shared" si="238"/>
        <v>0</v>
      </c>
      <c r="I682" s="19">
        <f t="shared" si="236"/>
        <v>0</v>
      </c>
      <c r="J682" s="17"/>
      <c r="K682" s="12">
        <f t="shared" si="239"/>
        <v>0</v>
      </c>
      <c r="L682" s="12"/>
      <c r="M682" s="19"/>
      <c r="N682" s="19">
        <f t="shared" si="240"/>
        <v>0</v>
      </c>
      <c r="O682" s="19">
        <f t="shared" si="241"/>
        <v>0</v>
      </c>
      <c r="P682" s="19">
        <f t="shared" si="237"/>
        <v>0</v>
      </c>
      <c r="Q682" s="19">
        <f t="shared" si="242"/>
        <v>0</v>
      </c>
      <c r="R682" s="52"/>
    </row>
    <row r="683" spans="2:19" x14ac:dyDescent="0.25">
      <c r="B683" s="51">
        <f>IF(F683&lt;&gt;"",1+MAX($B$22:B682),"")</f>
        <v>405</v>
      </c>
      <c r="C683" s="132" t="s">
        <v>446</v>
      </c>
      <c r="D683" s="10" t="s">
        <v>595</v>
      </c>
      <c r="E683" s="25" t="s">
        <v>90</v>
      </c>
      <c r="F683" s="41">
        <f>1</f>
        <v>1</v>
      </c>
      <c r="G683" s="19">
        <v>1900</v>
      </c>
      <c r="H683" s="19">
        <f t="shared" si="238"/>
        <v>1934.2</v>
      </c>
      <c r="I683" s="19">
        <f t="shared" si="236"/>
        <v>1934.2</v>
      </c>
      <c r="J683" s="17">
        <v>14.545</v>
      </c>
      <c r="K683" s="12">
        <f t="shared" si="239"/>
        <v>14.545</v>
      </c>
      <c r="L683" s="12" t="s">
        <v>668</v>
      </c>
      <c r="M683" s="19">
        <v>61.3</v>
      </c>
      <c r="N683" s="19">
        <f t="shared" si="240"/>
        <v>51.001599999999996</v>
      </c>
      <c r="O683" s="19">
        <f t="shared" si="241"/>
        <v>741.81827199999998</v>
      </c>
      <c r="P683" s="19">
        <f t="shared" si="237"/>
        <v>741.81827199999998</v>
      </c>
      <c r="Q683" s="19">
        <f t="shared" si="242"/>
        <v>2676.0182720000003</v>
      </c>
      <c r="R683" s="52"/>
    </row>
    <row r="684" spans="2:19" x14ac:dyDescent="0.25">
      <c r="B684" s="51">
        <f>IF(F684&lt;&gt;"",1+MAX($B$22:B683),"")</f>
        <v>406</v>
      </c>
      <c r="C684" s="132"/>
      <c r="D684" s="10" t="s">
        <v>596</v>
      </c>
      <c r="E684" s="25" t="s">
        <v>90</v>
      </c>
      <c r="F684" s="41">
        <f>1</f>
        <v>1</v>
      </c>
      <c r="G684" s="19">
        <v>1900</v>
      </c>
      <c r="H684" s="19">
        <f t="shared" si="238"/>
        <v>1934.2</v>
      </c>
      <c r="I684" s="19">
        <f t="shared" si="236"/>
        <v>1934.2</v>
      </c>
      <c r="J684" s="17">
        <v>14.545</v>
      </c>
      <c r="K684" s="12">
        <f t="shared" si="239"/>
        <v>14.545</v>
      </c>
      <c r="L684" s="12" t="s">
        <v>668</v>
      </c>
      <c r="M684" s="19">
        <v>61.3</v>
      </c>
      <c r="N684" s="19">
        <f t="shared" si="240"/>
        <v>51.001599999999996</v>
      </c>
      <c r="O684" s="19">
        <f t="shared" si="241"/>
        <v>741.81827199999998</v>
      </c>
      <c r="P684" s="19">
        <f t="shared" si="237"/>
        <v>741.81827199999998</v>
      </c>
      <c r="Q684" s="19">
        <f t="shared" si="242"/>
        <v>2676.0182720000003</v>
      </c>
      <c r="R684" s="52"/>
    </row>
    <row r="685" spans="2:19" x14ac:dyDescent="0.25">
      <c r="B685" s="51" t="str">
        <f>IF(F685&lt;&gt;"",1+MAX($B$22:B684),"")</f>
        <v/>
      </c>
      <c r="C685" s="55"/>
      <c r="D685" s="10"/>
      <c r="E685" s="25"/>
      <c r="F685" s="41"/>
      <c r="G685" s="19"/>
      <c r="H685" s="19">
        <f t="shared" si="238"/>
        <v>0</v>
      </c>
      <c r="I685" s="19">
        <f t="shared" si="236"/>
        <v>0</v>
      </c>
      <c r="J685" s="17"/>
      <c r="K685" s="12">
        <f t="shared" si="239"/>
        <v>0</v>
      </c>
      <c r="L685" s="12"/>
      <c r="M685" s="19"/>
      <c r="N685" s="19">
        <f t="shared" si="240"/>
        <v>0</v>
      </c>
      <c r="O685" s="19">
        <f t="shared" si="241"/>
        <v>0</v>
      </c>
      <c r="P685" s="19">
        <f t="shared" si="237"/>
        <v>0</v>
      </c>
      <c r="Q685" s="19">
        <f t="shared" si="242"/>
        <v>0</v>
      </c>
      <c r="R685" s="52"/>
      <c r="S685" s="14"/>
    </row>
    <row r="686" spans="2:19" x14ac:dyDescent="0.25">
      <c r="B686" s="70" t="str">
        <f>IF(F686&lt;&gt;"",1+MAX($B$22:B685),"")</f>
        <v/>
      </c>
      <c r="C686" s="71"/>
      <c r="D686" s="72" t="s">
        <v>538</v>
      </c>
      <c r="E686" s="25"/>
      <c r="F686" s="41"/>
      <c r="G686" s="19"/>
      <c r="H686" s="19">
        <f t="shared" si="238"/>
        <v>0</v>
      </c>
      <c r="I686" s="19">
        <f t="shared" si="236"/>
        <v>0</v>
      </c>
      <c r="J686" s="17"/>
      <c r="K686" s="12">
        <f t="shared" si="239"/>
        <v>0</v>
      </c>
      <c r="L686" s="12"/>
      <c r="M686" s="19"/>
      <c r="N686" s="19">
        <f t="shared" si="240"/>
        <v>0</v>
      </c>
      <c r="O686" s="19">
        <f t="shared" si="241"/>
        <v>0</v>
      </c>
      <c r="P686" s="19">
        <f t="shared" si="237"/>
        <v>0</v>
      </c>
      <c r="Q686" s="19">
        <f t="shared" si="242"/>
        <v>0</v>
      </c>
      <c r="R686" s="52"/>
    </row>
    <row r="687" spans="2:19" ht="27.6" x14ac:dyDescent="0.25">
      <c r="B687" s="51">
        <f>IF(F687&lt;&gt;"",1+MAX($B$22:B686),"")</f>
        <v>407</v>
      </c>
      <c r="C687" s="55" t="s">
        <v>446</v>
      </c>
      <c r="D687" s="10" t="s">
        <v>610</v>
      </c>
      <c r="E687" s="25" t="s">
        <v>68</v>
      </c>
      <c r="F687" s="41">
        <v>1</v>
      </c>
      <c r="G687" s="19">
        <v>9000</v>
      </c>
      <c r="H687" s="19">
        <f t="shared" si="238"/>
        <v>9162</v>
      </c>
      <c r="I687" s="19">
        <f t="shared" si="236"/>
        <v>9162</v>
      </c>
      <c r="J687" s="17">
        <v>99</v>
      </c>
      <c r="K687" s="12">
        <f t="shared" si="239"/>
        <v>99</v>
      </c>
      <c r="L687" s="97" t="s">
        <v>667</v>
      </c>
      <c r="M687" s="98">
        <v>61.3</v>
      </c>
      <c r="N687" s="19">
        <f t="shared" si="240"/>
        <v>51.001599999999996</v>
      </c>
      <c r="O687" s="19">
        <f t="shared" si="241"/>
        <v>5049.1583999999993</v>
      </c>
      <c r="P687" s="19">
        <f t="shared" si="237"/>
        <v>5049.1583999999993</v>
      </c>
      <c r="Q687" s="19">
        <f t="shared" si="242"/>
        <v>14211.1584</v>
      </c>
      <c r="R687" s="52"/>
    </row>
    <row r="688" spans="2:19" x14ac:dyDescent="0.25">
      <c r="B688" s="51" t="str">
        <f>IF(F688&lt;&gt;"",1+MAX($B$22:B687),"")</f>
        <v/>
      </c>
      <c r="C688" s="55"/>
      <c r="D688" s="10"/>
      <c r="E688" s="25"/>
      <c r="F688" s="41"/>
      <c r="G688" s="19"/>
      <c r="H688" s="19">
        <f t="shared" ref="H688" si="243">G688*$T$2</f>
        <v>0</v>
      </c>
      <c r="I688" s="19">
        <f t="shared" si="205"/>
        <v>0</v>
      </c>
      <c r="J688" s="17"/>
      <c r="K688" s="12">
        <f t="shared" ref="K688" si="244">F688*J688</f>
        <v>0</v>
      </c>
      <c r="L688" s="12"/>
      <c r="M688" s="19"/>
      <c r="N688" s="19">
        <f t="shared" ref="N688" si="245">M688*$U$2</f>
        <v>0</v>
      </c>
      <c r="O688" s="19">
        <f t="shared" ref="O688" si="246">J688*N688</f>
        <v>0</v>
      </c>
      <c r="P688" s="19">
        <f t="shared" si="206"/>
        <v>0</v>
      </c>
      <c r="Q688" s="19">
        <f t="shared" ref="Q688" si="247">I688+P688</f>
        <v>0</v>
      </c>
      <c r="R688" s="52"/>
      <c r="S688" s="14"/>
    </row>
    <row r="689" spans="2:36" s="14" customFormat="1" ht="12.75" customHeight="1" x14ac:dyDescent="0.25">
      <c r="B689" s="15" t="str">
        <f>IF(F689&lt;&gt;"",1+MAX($B$22:B688),"")</f>
        <v/>
      </c>
      <c r="C689" s="15" t="s">
        <v>60</v>
      </c>
      <c r="D689" s="8" t="s">
        <v>27</v>
      </c>
      <c r="E689" s="130" t="s">
        <v>69</v>
      </c>
      <c r="F689" s="130"/>
      <c r="G689" s="130"/>
      <c r="H689" s="54">
        <f>SUM(I690:I699)</f>
        <v>0</v>
      </c>
      <c r="I689" s="9">
        <f t="shared" si="205"/>
        <v>0</v>
      </c>
      <c r="J689" s="9"/>
      <c r="K689" s="131" t="s">
        <v>70</v>
      </c>
      <c r="L689" s="131"/>
      <c r="M689" s="131"/>
      <c r="N689" s="131"/>
      <c r="O689" s="54">
        <f>SUM(P690:P699)</f>
        <v>1808.5924758043307</v>
      </c>
      <c r="P689" s="9">
        <f t="shared" si="206"/>
        <v>0</v>
      </c>
      <c r="Q689" s="50">
        <f>SUM(Q690:Q699)</f>
        <v>1808.5924758043307</v>
      </c>
      <c r="R689" s="50">
        <f>(Q689)+(H689*$Q$8)+(O689*$Q$9)+(Q689*$Q$10)+($Q$11*((Q689)+(H689*$Q$8)+(O689*$Q$9)+(Q689*$Q$10)))+(Q689*$Q$12)</f>
        <v>2580.8614629727799</v>
      </c>
      <c r="T689" s="13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F689" s="13"/>
      <c r="AG689" s="13"/>
      <c r="AH689" s="13"/>
      <c r="AI689" s="13"/>
      <c r="AJ689" s="13"/>
    </row>
    <row r="690" spans="2:36" x14ac:dyDescent="0.25">
      <c r="B690" s="51" t="str">
        <f>IF(F690&lt;&gt;"",1+MAX($B$22:B689),"")</f>
        <v/>
      </c>
      <c r="C690" s="55"/>
      <c r="D690" s="10"/>
      <c r="E690" s="25"/>
      <c r="F690" s="41"/>
      <c r="G690" s="19"/>
      <c r="H690" s="19">
        <f t="shared" ref="H690:H699" si="248">G690*$T$2</f>
        <v>0</v>
      </c>
      <c r="I690" s="19">
        <f t="shared" si="205"/>
        <v>0</v>
      </c>
      <c r="J690" s="17"/>
      <c r="K690" s="12">
        <f t="shared" ref="K690:K699" si="249">F690*J690</f>
        <v>0</v>
      </c>
      <c r="L690" s="12"/>
      <c r="M690" s="19"/>
      <c r="N690" s="19">
        <f t="shared" ref="N690:N699" si="250">M690*$U$2</f>
        <v>0</v>
      </c>
      <c r="O690" s="19">
        <f t="shared" ref="O690:O699" si="251">J690*N690</f>
        <v>0</v>
      </c>
      <c r="P690" s="19">
        <f t="shared" si="206"/>
        <v>0</v>
      </c>
      <c r="Q690" s="19">
        <f t="shared" ref="Q690:Q699" si="252">I690+P690</f>
        <v>0</v>
      </c>
      <c r="R690" s="52"/>
      <c r="S690" s="14"/>
    </row>
    <row r="691" spans="2:36" x14ac:dyDescent="0.25">
      <c r="B691" s="70" t="str">
        <f>IF(F691&lt;&gt;"",1+MAX($B$22:B690),"")</f>
        <v/>
      </c>
      <c r="C691" s="71"/>
      <c r="D691" s="72" t="s">
        <v>101</v>
      </c>
      <c r="E691" s="25"/>
      <c r="F691" s="41"/>
      <c r="G691" s="19"/>
      <c r="H691" s="19">
        <f t="shared" si="248"/>
        <v>0</v>
      </c>
      <c r="I691" s="19">
        <f t="shared" si="205"/>
        <v>0</v>
      </c>
      <c r="J691" s="17"/>
      <c r="K691" s="12">
        <f t="shared" si="249"/>
        <v>0</v>
      </c>
      <c r="L691" s="12"/>
      <c r="M691" s="19"/>
      <c r="N691" s="19">
        <f t="shared" si="250"/>
        <v>0</v>
      </c>
      <c r="O691" s="19">
        <f t="shared" si="251"/>
        <v>0</v>
      </c>
      <c r="P691" s="19">
        <f t="shared" si="206"/>
        <v>0</v>
      </c>
      <c r="Q691" s="19">
        <f t="shared" si="252"/>
        <v>0</v>
      </c>
      <c r="R691" s="52"/>
    </row>
    <row r="692" spans="2:36" x14ac:dyDescent="0.25">
      <c r="B692" s="51">
        <f>IF(F692&lt;&gt;"",1+MAX($B$22:B691),"")</f>
        <v>408</v>
      </c>
      <c r="C692" s="55" t="s">
        <v>199</v>
      </c>
      <c r="D692" s="10" t="s">
        <v>102</v>
      </c>
      <c r="E692" s="25" t="s">
        <v>84</v>
      </c>
      <c r="F692" s="73">
        <f>(52.5*(1.33+2)*1/27)+(25.01*(1.33+2)*1/27)+(21.72*(0.92+2)*0.67/27)+(25*(0.67+2)*2/27)</f>
        <v>16.077826222222221</v>
      </c>
      <c r="G692" s="94"/>
      <c r="H692" s="94">
        <f t="shared" si="248"/>
        <v>0</v>
      </c>
      <c r="I692" s="94">
        <f t="shared" ref="I692" si="253">F692*H692</f>
        <v>0</v>
      </c>
      <c r="J692" s="17">
        <v>2.2799999999999998</v>
      </c>
      <c r="K692" s="12">
        <f t="shared" si="249"/>
        <v>36.657443786666661</v>
      </c>
      <c r="L692" s="97" t="s">
        <v>624</v>
      </c>
      <c r="M692" s="98">
        <v>42.1</v>
      </c>
      <c r="N692" s="19">
        <f t="shared" si="250"/>
        <v>35.027200000000001</v>
      </c>
      <c r="O692" s="19">
        <f t="shared" si="251"/>
        <v>79.862015999999997</v>
      </c>
      <c r="P692" s="19">
        <f t="shared" si="206"/>
        <v>1284.0076150043305</v>
      </c>
      <c r="Q692" s="19">
        <f t="shared" si="252"/>
        <v>1284.0076150043305</v>
      </c>
      <c r="R692" s="52"/>
    </row>
    <row r="693" spans="2:36" x14ac:dyDescent="0.25">
      <c r="B693" s="51" t="str">
        <f>IF(F693&lt;&gt;"",1+MAX($B$22:B692),"")</f>
        <v/>
      </c>
      <c r="C693" s="55"/>
      <c r="D693" s="51"/>
      <c r="E693" s="55"/>
      <c r="F693" s="79"/>
      <c r="G693" s="19"/>
      <c r="H693" s="19">
        <f t="shared" si="248"/>
        <v>0</v>
      </c>
      <c r="I693" s="19">
        <f t="shared" ref="I693:I699" si="254">F693*H693</f>
        <v>0</v>
      </c>
      <c r="J693" s="17"/>
      <c r="K693" s="12">
        <f t="shared" si="249"/>
        <v>0</v>
      </c>
      <c r="L693" s="12"/>
      <c r="M693" s="19"/>
      <c r="N693" s="19">
        <f t="shared" si="250"/>
        <v>0</v>
      </c>
      <c r="O693" s="19">
        <f t="shared" si="251"/>
        <v>0</v>
      </c>
      <c r="P693" s="19">
        <f t="shared" si="206"/>
        <v>0</v>
      </c>
      <c r="Q693" s="19">
        <f t="shared" si="252"/>
        <v>0</v>
      </c>
      <c r="R693" s="52"/>
    </row>
    <row r="694" spans="2:36" x14ac:dyDescent="0.25">
      <c r="B694" s="70" t="str">
        <f>IF(F694&lt;&gt;"",1+MAX($B$22:B693),"")</f>
        <v/>
      </c>
      <c r="C694" s="71"/>
      <c r="D694" s="72" t="s">
        <v>103</v>
      </c>
      <c r="E694" s="25"/>
      <c r="F694" s="73"/>
      <c r="G694" s="19"/>
      <c r="H694" s="19">
        <f t="shared" si="248"/>
        <v>0</v>
      </c>
      <c r="I694" s="19">
        <f t="shared" si="254"/>
        <v>0</v>
      </c>
      <c r="J694" s="17"/>
      <c r="K694" s="12">
        <f t="shared" si="249"/>
        <v>0</v>
      </c>
      <c r="L694" s="12"/>
      <c r="M694" s="19"/>
      <c r="N694" s="19">
        <f t="shared" si="250"/>
        <v>0</v>
      </c>
      <c r="O694" s="19">
        <f t="shared" si="251"/>
        <v>0</v>
      </c>
      <c r="P694" s="19">
        <f t="shared" si="206"/>
        <v>0</v>
      </c>
      <c r="Q694" s="19">
        <f t="shared" si="252"/>
        <v>0</v>
      </c>
      <c r="R694" s="52"/>
    </row>
    <row r="695" spans="2:36" x14ac:dyDescent="0.25">
      <c r="B695" s="51">
        <f>IF(F695&lt;&gt;"",1+MAX($B$22:B694),"")</f>
        <v>409</v>
      </c>
      <c r="C695" s="55" t="s">
        <v>199</v>
      </c>
      <c r="D695" s="10" t="s">
        <v>104</v>
      </c>
      <c r="E695" s="25" t="s">
        <v>84</v>
      </c>
      <c r="F695" s="73">
        <f>16.1-5.6</f>
        <v>10.500000000000002</v>
      </c>
      <c r="G695" s="94"/>
      <c r="H695" s="94">
        <f t="shared" si="248"/>
        <v>0</v>
      </c>
      <c r="I695" s="94">
        <f t="shared" si="254"/>
        <v>0</v>
      </c>
      <c r="J695" s="17">
        <v>1.093</v>
      </c>
      <c r="K695" s="12">
        <f t="shared" si="249"/>
        <v>11.476500000000001</v>
      </c>
      <c r="L695" s="97" t="s">
        <v>624</v>
      </c>
      <c r="M695" s="98">
        <v>42.1</v>
      </c>
      <c r="N695" s="19">
        <f t="shared" si="250"/>
        <v>35.027200000000001</v>
      </c>
      <c r="O695" s="19">
        <f t="shared" si="251"/>
        <v>38.284729599999999</v>
      </c>
      <c r="P695" s="19">
        <f t="shared" si="206"/>
        <v>401.98966080000008</v>
      </c>
      <c r="Q695" s="19">
        <f t="shared" si="252"/>
        <v>401.98966080000008</v>
      </c>
      <c r="R695" s="52"/>
    </row>
    <row r="696" spans="2:36" x14ac:dyDescent="0.25">
      <c r="B696" s="51" t="str">
        <f>IF(F696&lt;&gt;"",1+MAX($B$22:B695),"")</f>
        <v/>
      </c>
      <c r="C696" s="55"/>
      <c r="D696" s="10"/>
      <c r="E696" s="25"/>
      <c r="F696" s="73"/>
      <c r="G696" s="19"/>
      <c r="H696" s="19">
        <f t="shared" si="248"/>
        <v>0</v>
      </c>
      <c r="I696" s="19">
        <f t="shared" si="254"/>
        <v>0</v>
      </c>
      <c r="J696" s="17"/>
      <c r="K696" s="12">
        <f t="shared" si="249"/>
        <v>0</v>
      </c>
      <c r="L696" s="12"/>
      <c r="M696" s="19"/>
      <c r="N696" s="19">
        <f t="shared" si="250"/>
        <v>0</v>
      </c>
      <c r="O696" s="19">
        <f t="shared" si="251"/>
        <v>0</v>
      </c>
      <c r="P696" s="19">
        <f t="shared" si="206"/>
        <v>0</v>
      </c>
      <c r="Q696" s="19">
        <f t="shared" si="252"/>
        <v>0</v>
      </c>
      <c r="R696" s="52"/>
    </row>
    <row r="697" spans="2:36" x14ac:dyDescent="0.25">
      <c r="B697" s="70" t="str">
        <f>IF(F697&lt;&gt;"",1+MAX($B$22:B696),"")</f>
        <v/>
      </c>
      <c r="C697" s="71"/>
      <c r="D697" s="72" t="s">
        <v>105</v>
      </c>
      <c r="E697" s="25"/>
      <c r="F697" s="73"/>
      <c r="G697" s="19"/>
      <c r="H697" s="19">
        <f t="shared" si="248"/>
        <v>0</v>
      </c>
      <c r="I697" s="19">
        <f t="shared" si="254"/>
        <v>0</v>
      </c>
      <c r="J697" s="17"/>
      <c r="K697" s="12">
        <f t="shared" si="249"/>
        <v>0</v>
      </c>
      <c r="L697" s="12"/>
      <c r="M697" s="19"/>
      <c r="N697" s="19">
        <f t="shared" si="250"/>
        <v>0</v>
      </c>
      <c r="O697" s="19">
        <f t="shared" si="251"/>
        <v>0</v>
      </c>
      <c r="P697" s="19">
        <f t="shared" si="206"/>
        <v>0</v>
      </c>
      <c r="Q697" s="19">
        <f t="shared" si="252"/>
        <v>0</v>
      </c>
      <c r="R697" s="52"/>
    </row>
    <row r="698" spans="2:36" x14ac:dyDescent="0.25">
      <c r="B698" s="51">
        <f>IF(F698&lt;&gt;"",1+MAX($B$22:B697),"")</f>
        <v>410</v>
      </c>
      <c r="C698" s="55" t="s">
        <v>199</v>
      </c>
      <c r="D698" s="10" t="s">
        <v>106</v>
      </c>
      <c r="E698" s="25" t="s">
        <v>84</v>
      </c>
      <c r="F698" s="73">
        <f>16.1-10.5</f>
        <v>5.6000000000000014</v>
      </c>
      <c r="G698" s="94"/>
      <c r="H698" s="94">
        <f t="shared" si="248"/>
        <v>0</v>
      </c>
      <c r="I698" s="94">
        <f t="shared" si="254"/>
        <v>0</v>
      </c>
      <c r="J698" s="17">
        <v>0.625</v>
      </c>
      <c r="K698" s="12">
        <f t="shared" si="249"/>
        <v>3.5000000000000009</v>
      </c>
      <c r="L698" s="97" t="s">
        <v>624</v>
      </c>
      <c r="M698" s="98">
        <v>42.1</v>
      </c>
      <c r="N698" s="19">
        <f t="shared" si="250"/>
        <v>35.027200000000001</v>
      </c>
      <c r="O698" s="19">
        <f t="shared" si="251"/>
        <v>21.891999999999999</v>
      </c>
      <c r="P698" s="19">
        <f t="shared" si="206"/>
        <v>122.59520000000003</v>
      </c>
      <c r="Q698" s="19">
        <f t="shared" si="252"/>
        <v>122.59520000000003</v>
      </c>
      <c r="R698" s="52"/>
    </row>
    <row r="699" spans="2:36" x14ac:dyDescent="0.25">
      <c r="B699" s="51" t="str">
        <f>IF(F699&lt;&gt;"",1+MAX($B$22:B698),"")</f>
        <v/>
      </c>
      <c r="C699" s="55"/>
      <c r="D699" s="10"/>
      <c r="E699" s="25"/>
      <c r="F699" s="41"/>
      <c r="G699" s="19"/>
      <c r="H699" s="19">
        <f t="shared" si="248"/>
        <v>0</v>
      </c>
      <c r="I699" s="19">
        <f t="shared" si="254"/>
        <v>0</v>
      </c>
      <c r="J699" s="17"/>
      <c r="K699" s="12">
        <f t="shared" si="249"/>
        <v>0</v>
      </c>
      <c r="L699" s="12"/>
      <c r="M699" s="19"/>
      <c r="N699" s="19">
        <f t="shared" si="250"/>
        <v>0</v>
      </c>
      <c r="O699" s="19">
        <f t="shared" si="251"/>
        <v>0</v>
      </c>
      <c r="P699" s="19">
        <f t="shared" si="206"/>
        <v>0</v>
      </c>
      <c r="Q699" s="19">
        <f t="shared" si="252"/>
        <v>0</v>
      </c>
      <c r="R699" s="52"/>
    </row>
    <row r="700" spans="2:36" s="14" customFormat="1" ht="12.75" customHeight="1" x14ac:dyDescent="0.25">
      <c r="B700" s="15" t="str">
        <f>IF(F700&lt;&gt;"",1+MAX($B$22:B699),"")</f>
        <v/>
      </c>
      <c r="C700" s="15" t="s">
        <v>61</v>
      </c>
      <c r="D700" s="8" t="s">
        <v>28</v>
      </c>
      <c r="E700" s="130" t="s">
        <v>69</v>
      </c>
      <c r="F700" s="130"/>
      <c r="G700" s="130"/>
      <c r="H700" s="54">
        <f>SUM(I701:I730)</f>
        <v>4587.4145820111116</v>
      </c>
      <c r="I700" s="9">
        <f t="shared" si="205"/>
        <v>0</v>
      </c>
      <c r="J700" s="9"/>
      <c r="K700" s="131" t="s">
        <v>70</v>
      </c>
      <c r="L700" s="131"/>
      <c r="M700" s="131"/>
      <c r="N700" s="131"/>
      <c r="O700" s="54">
        <f>SUM(P701:P730)</f>
        <v>3854.2698856364441</v>
      </c>
      <c r="P700" s="9">
        <f t="shared" si="206"/>
        <v>0</v>
      </c>
      <c r="Q700" s="50">
        <f>SUM(Q701:Q730)</f>
        <v>8441.6844676475557</v>
      </c>
      <c r="R700" s="50">
        <f>(Q700)+(H700*$Q$8)+(O700*$Q$9)+(Q700*$Q$10)+($Q$11*((Q700)+(H700*$Q$8)+(O700*$Q$9)+(Q700*$Q$10)))+(Q700*$Q$12)</f>
        <v>11859.117220387008</v>
      </c>
      <c r="T700" s="13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F700" s="13"/>
      <c r="AG700" s="13"/>
      <c r="AH700" s="13"/>
      <c r="AI700" s="13"/>
      <c r="AJ700" s="13"/>
    </row>
    <row r="701" spans="2:36" x14ac:dyDescent="0.25">
      <c r="B701" s="51" t="str">
        <f>IF(F701&lt;&gt;"",1+MAX($B$22:B700),"")</f>
        <v/>
      </c>
      <c r="C701" s="55"/>
      <c r="D701" s="10"/>
      <c r="E701" s="25"/>
      <c r="F701" s="41"/>
      <c r="G701" s="19"/>
      <c r="H701" s="19">
        <f t="shared" ref="H701:H730" si="255">G701*$T$2</f>
        <v>0</v>
      </c>
      <c r="I701" s="19">
        <f t="shared" ref="I701:I730" si="256">F701*H701</f>
        <v>0</v>
      </c>
      <c r="J701" s="17"/>
      <c r="K701" s="12">
        <f t="shared" ref="K701:K730" si="257">F701*J701</f>
        <v>0</v>
      </c>
      <c r="L701" s="12"/>
      <c r="M701" s="19"/>
      <c r="N701" s="19">
        <f t="shared" ref="N701:N730" si="258">M701*$U$2</f>
        <v>0</v>
      </c>
      <c r="O701" s="19">
        <f t="shared" ref="O701:O730" si="259">J701*N701</f>
        <v>0</v>
      </c>
      <c r="P701" s="19">
        <f t="shared" ref="P701:P730" si="260">F701*O701</f>
        <v>0</v>
      </c>
      <c r="Q701" s="19">
        <f t="shared" ref="Q701:Q730" si="261">I701+P701</f>
        <v>0</v>
      </c>
      <c r="R701" s="52"/>
      <c r="S701" s="14"/>
    </row>
    <row r="702" spans="2:36" x14ac:dyDescent="0.25">
      <c r="B702" s="70" t="str">
        <f>IF(F702&lt;&gt;"",1+MAX($B$22:B701),"")</f>
        <v/>
      </c>
      <c r="C702" s="71"/>
      <c r="D702" s="72" t="s">
        <v>111</v>
      </c>
      <c r="E702" s="25"/>
      <c r="F702" s="41"/>
      <c r="G702" s="19"/>
      <c r="H702" s="19">
        <f t="shared" si="255"/>
        <v>0</v>
      </c>
      <c r="I702" s="19">
        <f t="shared" si="256"/>
        <v>0</v>
      </c>
      <c r="J702" s="17"/>
      <c r="K702" s="12">
        <f t="shared" si="257"/>
        <v>0</v>
      </c>
      <c r="L702" s="12"/>
      <c r="M702" s="19"/>
      <c r="N702" s="19">
        <f t="shared" si="258"/>
        <v>0</v>
      </c>
      <c r="O702" s="19">
        <f t="shared" si="259"/>
        <v>0</v>
      </c>
      <c r="P702" s="19">
        <f t="shared" si="260"/>
        <v>0</v>
      </c>
      <c r="Q702" s="19">
        <f t="shared" si="261"/>
        <v>0</v>
      </c>
      <c r="R702" s="52"/>
    </row>
    <row r="703" spans="2:36" x14ac:dyDescent="0.25">
      <c r="B703" s="51">
        <f>IF(F703&lt;&gt;"",1+MAX($B$22:B702),"")</f>
        <v>411</v>
      </c>
      <c r="C703" s="132" t="s">
        <v>200</v>
      </c>
      <c r="D703" s="10" t="s">
        <v>120</v>
      </c>
      <c r="E703" s="25" t="s">
        <v>82</v>
      </c>
      <c r="F703" s="41">
        <v>42.07</v>
      </c>
      <c r="G703" s="94"/>
      <c r="H703" s="94">
        <f t="shared" si="255"/>
        <v>0</v>
      </c>
      <c r="I703" s="94">
        <f t="shared" si="256"/>
        <v>0</v>
      </c>
      <c r="J703" s="17">
        <v>0.125</v>
      </c>
      <c r="K703" s="12">
        <f t="shared" si="257"/>
        <v>5.25875</v>
      </c>
      <c r="L703" s="97" t="s">
        <v>624</v>
      </c>
      <c r="M703" s="98">
        <v>42.1</v>
      </c>
      <c r="N703" s="19">
        <f t="shared" si="258"/>
        <v>35.027200000000001</v>
      </c>
      <c r="O703" s="19">
        <f t="shared" si="259"/>
        <v>4.3784000000000001</v>
      </c>
      <c r="P703" s="19">
        <f t="shared" si="260"/>
        <v>184.199288</v>
      </c>
      <c r="Q703" s="19">
        <f t="shared" si="261"/>
        <v>184.199288</v>
      </c>
      <c r="R703" s="52"/>
    </row>
    <row r="704" spans="2:36" x14ac:dyDescent="0.25">
      <c r="B704" s="51" t="str">
        <f>IF(F704&lt;&gt;"",1+MAX($B$22:B703),"")</f>
        <v/>
      </c>
      <c r="C704" s="132"/>
      <c r="D704" s="10"/>
      <c r="E704" s="25"/>
      <c r="F704" s="41"/>
      <c r="G704" s="19"/>
      <c r="H704" s="19">
        <f t="shared" si="255"/>
        <v>0</v>
      </c>
      <c r="I704" s="19">
        <f t="shared" si="256"/>
        <v>0</v>
      </c>
      <c r="J704" s="17"/>
      <c r="K704" s="12">
        <f t="shared" si="257"/>
        <v>0</v>
      </c>
      <c r="L704" s="12"/>
      <c r="M704" s="19"/>
      <c r="N704" s="19">
        <f t="shared" si="258"/>
        <v>0</v>
      </c>
      <c r="O704" s="19">
        <f t="shared" si="259"/>
        <v>0</v>
      </c>
      <c r="P704" s="19">
        <f t="shared" si="260"/>
        <v>0</v>
      </c>
      <c r="Q704" s="19">
        <f t="shared" si="261"/>
        <v>0</v>
      </c>
      <c r="R704" s="52"/>
    </row>
    <row r="705" spans="2:18" x14ac:dyDescent="0.25">
      <c r="B705" s="51" t="str">
        <f>IF(F705&lt;&gt;"",1+MAX($B$22:B704),"")</f>
        <v/>
      </c>
      <c r="C705" s="132"/>
      <c r="D705" s="53" t="s">
        <v>121</v>
      </c>
      <c r="E705" s="25"/>
      <c r="F705" s="41"/>
      <c r="G705" s="19"/>
      <c r="H705" s="19">
        <f t="shared" si="255"/>
        <v>0</v>
      </c>
      <c r="I705" s="19">
        <f t="shared" si="256"/>
        <v>0</v>
      </c>
      <c r="J705" s="17"/>
      <c r="K705" s="12">
        <f t="shared" si="257"/>
        <v>0</v>
      </c>
      <c r="L705" s="12"/>
      <c r="M705" s="19"/>
      <c r="N705" s="19">
        <f t="shared" si="258"/>
        <v>0</v>
      </c>
      <c r="O705" s="19">
        <f t="shared" si="259"/>
        <v>0</v>
      </c>
      <c r="P705" s="19">
        <f t="shared" si="260"/>
        <v>0</v>
      </c>
      <c r="Q705" s="19">
        <f t="shared" si="261"/>
        <v>0</v>
      </c>
      <c r="R705" s="52"/>
    </row>
    <row r="706" spans="2:18" x14ac:dyDescent="0.25">
      <c r="B706" s="51">
        <f>IF(F706&lt;&gt;"",1+MAX($B$22:B705),"")</f>
        <v>412</v>
      </c>
      <c r="C706" s="132"/>
      <c r="D706" s="10" t="s">
        <v>147</v>
      </c>
      <c r="E706" s="25" t="s">
        <v>82</v>
      </c>
      <c r="F706" s="41">
        <v>11.28</v>
      </c>
      <c r="G706" s="19">
        <v>1.85</v>
      </c>
      <c r="H706" s="19">
        <f t="shared" si="255"/>
        <v>1.8833000000000002</v>
      </c>
      <c r="I706" s="19">
        <f t="shared" si="256"/>
        <v>21.243624000000001</v>
      </c>
      <c r="J706" s="17">
        <v>3.7999999999999999E-2</v>
      </c>
      <c r="K706" s="12">
        <f t="shared" si="257"/>
        <v>0.42863999999999997</v>
      </c>
      <c r="L706" s="97" t="s">
        <v>624</v>
      </c>
      <c r="M706" s="98">
        <v>42.1</v>
      </c>
      <c r="N706" s="19">
        <f t="shared" si="258"/>
        <v>35.027200000000001</v>
      </c>
      <c r="O706" s="19">
        <f t="shared" si="259"/>
        <v>1.3310336</v>
      </c>
      <c r="P706" s="19">
        <f t="shared" si="260"/>
        <v>15.014059008</v>
      </c>
      <c r="Q706" s="19">
        <f t="shared" si="261"/>
        <v>36.257683008000001</v>
      </c>
      <c r="R706" s="52"/>
    </row>
    <row r="707" spans="2:18" ht="27.6" x14ac:dyDescent="0.25">
      <c r="B707" s="51">
        <f>IF(F707&lt;&gt;"",1+MAX($B$22:B706),"")</f>
        <v>413</v>
      </c>
      <c r="C707" s="132"/>
      <c r="D707" s="10" t="s">
        <v>122</v>
      </c>
      <c r="E707" s="25" t="s">
        <v>82</v>
      </c>
      <c r="F707" s="41">
        <f>24.02*6.5</f>
        <v>156.13</v>
      </c>
      <c r="G707" s="19">
        <v>0.91</v>
      </c>
      <c r="H707" s="19">
        <f t="shared" si="255"/>
        <v>0.92638000000000009</v>
      </c>
      <c r="I707" s="19">
        <f t="shared" si="256"/>
        <v>144.6357094</v>
      </c>
      <c r="J707" s="17">
        <v>0.04</v>
      </c>
      <c r="K707" s="12">
        <f t="shared" si="257"/>
        <v>6.2451999999999996</v>
      </c>
      <c r="L707" s="97" t="s">
        <v>633</v>
      </c>
      <c r="M707" s="98">
        <v>46.9</v>
      </c>
      <c r="N707" s="19">
        <f t="shared" si="258"/>
        <v>39.020799999999994</v>
      </c>
      <c r="O707" s="19">
        <f t="shared" si="259"/>
        <v>1.5608319999999998</v>
      </c>
      <c r="P707" s="19">
        <f t="shared" si="260"/>
        <v>243.69270015999996</v>
      </c>
      <c r="Q707" s="19">
        <f t="shared" si="261"/>
        <v>388.32840955999995</v>
      </c>
      <c r="R707" s="52"/>
    </row>
    <row r="708" spans="2:18" x14ac:dyDescent="0.25">
      <c r="B708" s="51" t="str">
        <f>IF(F708&lt;&gt;"",1+MAX($B$22:B707),"")</f>
        <v/>
      </c>
      <c r="C708" s="55"/>
      <c r="D708" s="10"/>
      <c r="E708" s="25"/>
      <c r="F708" s="41"/>
      <c r="G708" s="19"/>
      <c r="H708" s="19">
        <f t="shared" si="255"/>
        <v>0</v>
      </c>
      <c r="I708" s="19">
        <f t="shared" si="256"/>
        <v>0</v>
      </c>
      <c r="J708" s="17"/>
      <c r="K708" s="12">
        <f t="shared" si="257"/>
        <v>0</v>
      </c>
      <c r="L708" s="12"/>
      <c r="M708" s="19"/>
      <c r="N708" s="19">
        <f t="shared" si="258"/>
        <v>0</v>
      </c>
      <c r="O708" s="19">
        <f t="shared" si="259"/>
        <v>0</v>
      </c>
      <c r="P708" s="19">
        <f t="shared" si="260"/>
        <v>0</v>
      </c>
      <c r="Q708" s="19">
        <f t="shared" si="261"/>
        <v>0</v>
      </c>
      <c r="R708" s="52"/>
    </row>
    <row r="709" spans="2:18" x14ac:dyDescent="0.25">
      <c r="B709" s="70" t="str">
        <f>IF(F709&lt;&gt;"",1+MAX($B$22:B708),"")</f>
        <v/>
      </c>
      <c r="C709" s="71"/>
      <c r="D709" s="72" t="s">
        <v>128</v>
      </c>
      <c r="E709" s="25"/>
      <c r="F709" s="41"/>
      <c r="G709" s="19"/>
      <c r="H709" s="19">
        <f t="shared" si="255"/>
        <v>0</v>
      </c>
      <c r="I709" s="19">
        <f t="shared" si="256"/>
        <v>0</v>
      </c>
      <c r="J709" s="17"/>
      <c r="K709" s="12">
        <f t="shared" si="257"/>
        <v>0</v>
      </c>
      <c r="L709" s="12"/>
      <c r="M709" s="19"/>
      <c r="N709" s="19">
        <f t="shared" si="258"/>
        <v>0</v>
      </c>
      <c r="O709" s="19">
        <f t="shared" si="259"/>
        <v>0</v>
      </c>
      <c r="P709" s="19">
        <f t="shared" si="260"/>
        <v>0</v>
      </c>
      <c r="Q709" s="19">
        <f t="shared" si="261"/>
        <v>0</v>
      </c>
      <c r="R709" s="52"/>
    </row>
    <row r="710" spans="2:18" ht="27.6" x14ac:dyDescent="0.25">
      <c r="B710" s="51">
        <f>IF(F710&lt;&gt;"",1+MAX($B$22:B709),"")</f>
        <v>414</v>
      </c>
      <c r="C710" s="132" t="s">
        <v>200</v>
      </c>
      <c r="D710" s="10" t="s">
        <v>123</v>
      </c>
      <c r="E710" s="25" t="s">
        <v>86</v>
      </c>
      <c r="F710" s="41">
        <v>27.38</v>
      </c>
      <c r="G710" s="19">
        <v>22.5</v>
      </c>
      <c r="H710" s="19">
        <f t="shared" si="255"/>
        <v>22.905000000000001</v>
      </c>
      <c r="I710" s="19">
        <f t="shared" si="256"/>
        <v>627.13890000000004</v>
      </c>
      <c r="J710" s="17">
        <v>0.15</v>
      </c>
      <c r="K710" s="12">
        <f t="shared" si="257"/>
        <v>4.1069999999999993</v>
      </c>
      <c r="L710" s="97" t="s">
        <v>669</v>
      </c>
      <c r="M710" s="98">
        <v>54.23</v>
      </c>
      <c r="N710" s="19">
        <f t="shared" si="258"/>
        <v>45.119359999999993</v>
      </c>
      <c r="O710" s="19">
        <f t="shared" si="259"/>
        <v>6.7679039999999988</v>
      </c>
      <c r="P710" s="19">
        <f t="shared" si="260"/>
        <v>185.30521151999997</v>
      </c>
      <c r="Q710" s="19">
        <f t="shared" si="261"/>
        <v>812.44411151999998</v>
      </c>
      <c r="R710" s="52"/>
    </row>
    <row r="711" spans="2:18" x14ac:dyDescent="0.25">
      <c r="B711" s="51" t="str">
        <f>IF(F711&lt;&gt;"",1+MAX($B$22:B710),"")</f>
        <v/>
      </c>
      <c r="C711" s="132"/>
      <c r="D711" s="10"/>
      <c r="E711" s="25"/>
      <c r="F711" s="41"/>
      <c r="G711" s="19"/>
      <c r="H711" s="19">
        <f t="shared" si="255"/>
        <v>0</v>
      </c>
      <c r="I711" s="19">
        <f t="shared" si="256"/>
        <v>0</v>
      </c>
      <c r="J711" s="17"/>
      <c r="K711" s="12">
        <f t="shared" si="257"/>
        <v>0</v>
      </c>
      <c r="L711" s="12"/>
      <c r="M711" s="19"/>
      <c r="N711" s="19">
        <f t="shared" si="258"/>
        <v>0</v>
      </c>
      <c r="O711" s="19">
        <f t="shared" si="259"/>
        <v>0</v>
      </c>
      <c r="P711" s="19">
        <f t="shared" si="260"/>
        <v>0</v>
      </c>
      <c r="Q711" s="19">
        <f t="shared" si="261"/>
        <v>0</v>
      </c>
      <c r="R711" s="52"/>
    </row>
    <row r="712" spans="2:18" x14ac:dyDescent="0.25">
      <c r="B712" s="51" t="str">
        <f>IF(F712&lt;&gt;"",1+MAX($B$22:B711),"")</f>
        <v/>
      </c>
      <c r="C712" s="132"/>
      <c r="D712" s="53" t="s">
        <v>107</v>
      </c>
      <c r="E712" s="25"/>
      <c r="F712" s="41"/>
      <c r="G712" s="19"/>
      <c r="H712" s="19">
        <f t="shared" si="255"/>
        <v>0</v>
      </c>
      <c r="I712" s="19">
        <f t="shared" si="256"/>
        <v>0</v>
      </c>
      <c r="J712" s="17"/>
      <c r="K712" s="12">
        <f t="shared" si="257"/>
        <v>0</v>
      </c>
      <c r="L712" s="12"/>
      <c r="M712" s="19"/>
      <c r="N712" s="19">
        <f t="shared" si="258"/>
        <v>0</v>
      </c>
      <c r="O712" s="19">
        <f t="shared" si="259"/>
        <v>0</v>
      </c>
      <c r="P712" s="19">
        <f t="shared" si="260"/>
        <v>0</v>
      </c>
      <c r="Q712" s="19">
        <f t="shared" si="261"/>
        <v>0</v>
      </c>
      <c r="R712" s="52"/>
    </row>
    <row r="713" spans="2:18" ht="27.6" x14ac:dyDescent="0.25">
      <c r="B713" s="51">
        <f>IF(F713&lt;&gt;"",1+MAX($B$22:B712),"")</f>
        <v>415</v>
      </c>
      <c r="C713" s="132"/>
      <c r="D713" s="10" t="s">
        <v>124</v>
      </c>
      <c r="E713" s="25" t="s">
        <v>84</v>
      </c>
      <c r="F713" s="73">
        <f>3*((3.14*1*1/4)*2.5/27)</f>
        <v>0.21805555555555556</v>
      </c>
      <c r="G713" s="19">
        <v>304.22000000000003</v>
      </c>
      <c r="H713" s="19">
        <f t="shared" si="255"/>
        <v>309.69596000000001</v>
      </c>
      <c r="I713" s="19">
        <f t="shared" si="256"/>
        <v>67.530924611111118</v>
      </c>
      <c r="J713" s="17">
        <v>6.415</v>
      </c>
      <c r="K713" s="12">
        <f t="shared" si="257"/>
        <v>1.398826388888889</v>
      </c>
      <c r="L713" s="97" t="s">
        <v>670</v>
      </c>
      <c r="M713" s="98">
        <v>52.21</v>
      </c>
      <c r="N713" s="19">
        <f t="shared" si="258"/>
        <v>43.438719999999996</v>
      </c>
      <c r="O713" s="19">
        <f t="shared" si="259"/>
        <v>278.65938879999999</v>
      </c>
      <c r="P713" s="19">
        <f t="shared" si="260"/>
        <v>60.763227835555554</v>
      </c>
      <c r="Q713" s="19">
        <f t="shared" si="261"/>
        <v>128.29415244666666</v>
      </c>
      <c r="R713" s="52"/>
    </row>
    <row r="714" spans="2:18" x14ac:dyDescent="0.25">
      <c r="B714" s="51" t="str">
        <f>IF(F714&lt;&gt;"",1+MAX($B$22:B713),"")</f>
        <v/>
      </c>
      <c r="C714" s="132"/>
      <c r="D714" s="10"/>
      <c r="E714" s="25"/>
      <c r="F714" s="41"/>
      <c r="G714" s="19"/>
      <c r="H714" s="19">
        <f t="shared" si="255"/>
        <v>0</v>
      </c>
      <c r="I714" s="19">
        <f t="shared" si="256"/>
        <v>0</v>
      </c>
      <c r="J714" s="17"/>
      <c r="K714" s="12">
        <f t="shared" si="257"/>
        <v>0</v>
      </c>
      <c r="L714" s="12"/>
      <c r="M714" s="19"/>
      <c r="N714" s="19">
        <f t="shared" si="258"/>
        <v>0</v>
      </c>
      <c r="O714" s="19">
        <f t="shared" si="259"/>
        <v>0</v>
      </c>
      <c r="P714" s="19">
        <f t="shared" si="260"/>
        <v>0</v>
      </c>
      <c r="Q714" s="19">
        <f t="shared" si="261"/>
        <v>0</v>
      </c>
      <c r="R714" s="52"/>
    </row>
    <row r="715" spans="2:18" x14ac:dyDescent="0.25">
      <c r="B715" s="51" t="str">
        <f>IF(F715&lt;&gt;"",1+MAX($B$22:B714),"")</f>
        <v/>
      </c>
      <c r="C715" s="132"/>
      <c r="D715" s="53" t="s">
        <v>27</v>
      </c>
      <c r="E715" s="25"/>
      <c r="F715" s="41"/>
      <c r="G715" s="19"/>
      <c r="H715" s="19">
        <f t="shared" si="255"/>
        <v>0</v>
      </c>
      <c r="I715" s="19">
        <f t="shared" si="256"/>
        <v>0</v>
      </c>
      <c r="J715" s="17"/>
      <c r="K715" s="12">
        <f t="shared" si="257"/>
        <v>0</v>
      </c>
      <c r="L715" s="12"/>
      <c r="M715" s="19"/>
      <c r="N715" s="19">
        <f t="shared" si="258"/>
        <v>0</v>
      </c>
      <c r="O715" s="19">
        <f t="shared" si="259"/>
        <v>0</v>
      </c>
      <c r="P715" s="19">
        <f t="shared" si="260"/>
        <v>0</v>
      </c>
      <c r="Q715" s="19">
        <f t="shared" si="261"/>
        <v>0</v>
      </c>
      <c r="R715" s="52"/>
    </row>
    <row r="716" spans="2:18" x14ac:dyDescent="0.25">
      <c r="B716" s="51">
        <f>IF(F716&lt;&gt;"",1+MAX($B$22:B715),"")</f>
        <v>416</v>
      </c>
      <c r="C716" s="132"/>
      <c r="D716" s="10" t="s">
        <v>101</v>
      </c>
      <c r="E716" s="25" t="s">
        <v>84</v>
      </c>
      <c r="F716" s="73">
        <f t="shared" ref="F716:F717" si="262">3*((3.14*1*1/4)*2.5/27)</f>
        <v>0.21805555555555556</v>
      </c>
      <c r="G716" s="94"/>
      <c r="H716" s="94">
        <f t="shared" si="255"/>
        <v>0</v>
      </c>
      <c r="I716" s="94">
        <f t="shared" si="256"/>
        <v>0</v>
      </c>
      <c r="J716" s="17">
        <f>J692</f>
        <v>2.2799999999999998</v>
      </c>
      <c r="K716" s="12">
        <f t="shared" si="257"/>
        <v>0.49716666666666665</v>
      </c>
      <c r="L716" s="12" t="str">
        <f>L692</f>
        <v>1 CLAB</v>
      </c>
      <c r="M716" s="19">
        <f>M692</f>
        <v>42.1</v>
      </c>
      <c r="N716" s="19">
        <f t="shared" si="258"/>
        <v>35.027200000000001</v>
      </c>
      <c r="O716" s="19">
        <f t="shared" si="259"/>
        <v>79.862015999999997</v>
      </c>
      <c r="P716" s="19">
        <f t="shared" si="260"/>
        <v>17.414356266666665</v>
      </c>
      <c r="Q716" s="19">
        <f t="shared" si="261"/>
        <v>17.414356266666665</v>
      </c>
      <c r="R716" s="52"/>
    </row>
    <row r="717" spans="2:18" x14ac:dyDescent="0.25">
      <c r="B717" s="51">
        <f>IF(F717&lt;&gt;"",1+MAX($B$22:B716),"")</f>
        <v>417</v>
      </c>
      <c r="C717" s="132"/>
      <c r="D717" s="10" t="s">
        <v>125</v>
      </c>
      <c r="E717" s="25" t="s">
        <v>84</v>
      </c>
      <c r="F717" s="73">
        <f t="shared" si="262"/>
        <v>0.21805555555555556</v>
      </c>
      <c r="G717" s="94"/>
      <c r="H717" s="94">
        <f t="shared" si="255"/>
        <v>0</v>
      </c>
      <c r="I717" s="94">
        <f t="shared" si="256"/>
        <v>0</v>
      </c>
      <c r="J717" s="17">
        <f>J698</f>
        <v>0.625</v>
      </c>
      <c r="K717" s="12">
        <f t="shared" si="257"/>
        <v>0.13628472222222221</v>
      </c>
      <c r="L717" s="97" t="str">
        <f>L698</f>
        <v>1 CLAB</v>
      </c>
      <c r="M717" s="98">
        <f>M698</f>
        <v>42.1</v>
      </c>
      <c r="N717" s="19">
        <f t="shared" si="258"/>
        <v>35.027200000000001</v>
      </c>
      <c r="O717" s="19">
        <f t="shared" si="259"/>
        <v>21.891999999999999</v>
      </c>
      <c r="P717" s="19">
        <f t="shared" si="260"/>
        <v>4.7736722222222223</v>
      </c>
      <c r="Q717" s="19">
        <f t="shared" si="261"/>
        <v>4.7736722222222223</v>
      </c>
      <c r="R717" s="52"/>
    </row>
    <row r="718" spans="2:18" x14ac:dyDescent="0.25">
      <c r="B718" s="51" t="str">
        <f>IF(F718&lt;&gt;"",1+MAX($B$22:B717),"")</f>
        <v/>
      </c>
      <c r="C718" s="132"/>
      <c r="D718" s="10"/>
      <c r="E718" s="25"/>
      <c r="F718" s="41"/>
      <c r="G718" s="19"/>
      <c r="H718" s="19">
        <f t="shared" si="255"/>
        <v>0</v>
      </c>
      <c r="I718" s="19">
        <f t="shared" si="256"/>
        <v>0</v>
      </c>
      <c r="J718" s="17"/>
      <c r="K718" s="12">
        <f t="shared" si="257"/>
        <v>0</v>
      </c>
      <c r="L718" s="12"/>
      <c r="M718" s="19"/>
      <c r="N718" s="19">
        <f t="shared" si="258"/>
        <v>0</v>
      </c>
      <c r="O718" s="19">
        <f t="shared" si="259"/>
        <v>0</v>
      </c>
      <c r="P718" s="19">
        <f t="shared" si="260"/>
        <v>0</v>
      </c>
      <c r="Q718" s="19">
        <f t="shared" si="261"/>
        <v>0</v>
      </c>
      <c r="R718" s="52"/>
    </row>
    <row r="719" spans="2:18" x14ac:dyDescent="0.25">
      <c r="B719" s="51" t="str">
        <f>IF(F719&lt;&gt;"",1+MAX($B$22:B718),"")</f>
        <v/>
      </c>
      <c r="C719" s="132"/>
      <c r="D719" s="53" t="s">
        <v>126</v>
      </c>
      <c r="E719" s="25"/>
      <c r="F719" s="41"/>
      <c r="G719" s="19"/>
      <c r="H719" s="19">
        <f t="shared" si="255"/>
        <v>0</v>
      </c>
      <c r="I719" s="19">
        <f t="shared" si="256"/>
        <v>0</v>
      </c>
      <c r="J719" s="17"/>
      <c r="K719" s="12">
        <f t="shared" si="257"/>
        <v>0</v>
      </c>
      <c r="L719" s="12"/>
      <c r="M719" s="19"/>
      <c r="N719" s="19">
        <f t="shared" si="258"/>
        <v>0</v>
      </c>
      <c r="O719" s="19">
        <f t="shared" si="259"/>
        <v>0</v>
      </c>
      <c r="P719" s="19">
        <f t="shared" si="260"/>
        <v>0</v>
      </c>
      <c r="Q719" s="19">
        <f t="shared" si="261"/>
        <v>0</v>
      </c>
      <c r="R719" s="52"/>
    </row>
    <row r="720" spans="2:18" x14ac:dyDescent="0.25">
      <c r="B720" s="51">
        <f>IF(F720&lt;&gt;"",1+MAX($B$22:B719),"")</f>
        <v>418</v>
      </c>
      <c r="C720" s="132"/>
      <c r="D720" s="10" t="s">
        <v>127</v>
      </c>
      <c r="E720" s="25" t="s">
        <v>90</v>
      </c>
      <c r="F720" s="41">
        <v>1</v>
      </c>
      <c r="G720" s="19">
        <v>250</v>
      </c>
      <c r="H720" s="19">
        <f t="shared" si="255"/>
        <v>254.5</v>
      </c>
      <c r="I720" s="19">
        <f t="shared" si="256"/>
        <v>254.5</v>
      </c>
      <c r="J720" s="17">
        <v>2.6669999999999998</v>
      </c>
      <c r="K720" s="12">
        <f t="shared" si="257"/>
        <v>2.6669999999999998</v>
      </c>
      <c r="L720" s="97" t="s">
        <v>670</v>
      </c>
      <c r="M720" s="98">
        <v>52.21</v>
      </c>
      <c r="N720" s="19">
        <f t="shared" si="258"/>
        <v>43.438719999999996</v>
      </c>
      <c r="O720" s="19">
        <f t="shared" si="259"/>
        <v>115.85106623999998</v>
      </c>
      <c r="P720" s="19">
        <f t="shared" si="260"/>
        <v>115.85106623999998</v>
      </c>
      <c r="Q720" s="19">
        <f t="shared" si="261"/>
        <v>370.35106623999997</v>
      </c>
      <c r="R720" s="52"/>
    </row>
    <row r="721" spans="2:36" x14ac:dyDescent="0.25">
      <c r="B721" s="51" t="str">
        <f>IF(F721&lt;&gt;"",1+MAX($B$22:B720),"")</f>
        <v/>
      </c>
      <c r="C721" s="55"/>
      <c r="D721" s="10"/>
      <c r="E721" s="25"/>
      <c r="F721" s="41"/>
      <c r="G721" s="19"/>
      <c r="H721" s="19">
        <f t="shared" si="255"/>
        <v>0</v>
      </c>
      <c r="I721" s="19">
        <f t="shared" si="256"/>
        <v>0</v>
      </c>
      <c r="J721" s="17"/>
      <c r="K721" s="12">
        <f t="shared" si="257"/>
        <v>0</v>
      </c>
      <c r="L721" s="12"/>
      <c r="M721" s="19"/>
      <c r="N721" s="19">
        <f t="shared" si="258"/>
        <v>0</v>
      </c>
      <c r="O721" s="19">
        <f t="shared" si="259"/>
        <v>0</v>
      </c>
      <c r="P721" s="19">
        <f t="shared" si="260"/>
        <v>0</v>
      </c>
      <c r="Q721" s="19">
        <f t="shared" si="261"/>
        <v>0</v>
      </c>
      <c r="R721" s="52"/>
    </row>
    <row r="722" spans="2:36" x14ac:dyDescent="0.25">
      <c r="B722" s="70" t="str">
        <f>IF(F722&lt;&gt;"",1+MAX($B$22:B721),"")</f>
        <v/>
      </c>
      <c r="C722" s="71"/>
      <c r="D722" s="72" t="s">
        <v>129</v>
      </c>
      <c r="E722" s="25"/>
      <c r="F722" s="41"/>
      <c r="G722" s="19"/>
      <c r="H722" s="19">
        <f t="shared" si="255"/>
        <v>0</v>
      </c>
      <c r="I722" s="19">
        <f t="shared" si="256"/>
        <v>0</v>
      </c>
      <c r="J722" s="17"/>
      <c r="K722" s="12">
        <f t="shared" si="257"/>
        <v>0</v>
      </c>
      <c r="L722" s="12"/>
      <c r="M722" s="19"/>
      <c r="N722" s="19">
        <f t="shared" si="258"/>
        <v>0</v>
      </c>
      <c r="O722" s="19">
        <f t="shared" si="259"/>
        <v>0</v>
      </c>
      <c r="P722" s="19">
        <f t="shared" si="260"/>
        <v>0</v>
      </c>
      <c r="Q722" s="19">
        <f t="shared" si="261"/>
        <v>0</v>
      </c>
      <c r="R722" s="52"/>
    </row>
    <row r="723" spans="2:36" ht="27.6" x14ac:dyDescent="0.25">
      <c r="B723" s="51">
        <f>IF(F723&lt;&gt;"",1+MAX($B$22:B722),"")</f>
        <v>419</v>
      </c>
      <c r="C723" s="55" t="s">
        <v>200</v>
      </c>
      <c r="D723" s="10" t="s">
        <v>130</v>
      </c>
      <c r="E723" s="25" t="s">
        <v>82</v>
      </c>
      <c r="F723" s="41">
        <v>430.06</v>
      </c>
      <c r="G723" s="19">
        <v>7</v>
      </c>
      <c r="H723" s="19">
        <f t="shared" si="255"/>
        <v>7.1260000000000003</v>
      </c>
      <c r="I723" s="19">
        <f t="shared" si="256"/>
        <v>3064.6075600000004</v>
      </c>
      <c r="J723" s="17">
        <v>0.14199999999999999</v>
      </c>
      <c r="K723" s="12">
        <f t="shared" si="257"/>
        <v>61.068519999999992</v>
      </c>
      <c r="L723" s="97" t="s">
        <v>635</v>
      </c>
      <c r="M723" s="98">
        <v>46.9</v>
      </c>
      <c r="N723" s="19">
        <f t="shared" si="258"/>
        <v>39.020799999999994</v>
      </c>
      <c r="O723" s="19">
        <f t="shared" si="259"/>
        <v>5.540953599999999</v>
      </c>
      <c r="P723" s="19">
        <f t="shared" si="260"/>
        <v>2382.9425052159995</v>
      </c>
      <c r="Q723" s="19">
        <f t="shared" si="261"/>
        <v>5447.5500652159999</v>
      </c>
      <c r="R723" s="52"/>
    </row>
    <row r="724" spans="2:36" x14ac:dyDescent="0.25">
      <c r="B724" s="51" t="str">
        <f>IF(F724&lt;&gt;"",1+MAX($B$22:B723),"")</f>
        <v/>
      </c>
      <c r="C724" s="55"/>
      <c r="D724" s="10"/>
      <c r="E724" s="25"/>
      <c r="F724" s="41"/>
      <c r="G724" s="19"/>
      <c r="H724" s="19">
        <f t="shared" si="255"/>
        <v>0</v>
      </c>
      <c r="I724" s="19">
        <f t="shared" si="256"/>
        <v>0</v>
      </c>
      <c r="J724" s="17"/>
      <c r="K724" s="12">
        <f t="shared" si="257"/>
        <v>0</v>
      </c>
      <c r="L724" s="12"/>
      <c r="M724" s="19"/>
      <c r="N724" s="19">
        <f t="shared" si="258"/>
        <v>0</v>
      </c>
      <c r="O724" s="19">
        <f t="shared" si="259"/>
        <v>0</v>
      </c>
      <c r="P724" s="19">
        <f t="shared" si="260"/>
        <v>0</v>
      </c>
      <c r="Q724" s="19">
        <f t="shared" si="261"/>
        <v>0</v>
      </c>
      <c r="R724" s="52"/>
    </row>
    <row r="725" spans="2:36" x14ac:dyDescent="0.25">
      <c r="B725" s="70" t="str">
        <f>IF(F725&lt;&gt;"",1+MAX($B$22:B724),"")</f>
        <v/>
      </c>
      <c r="C725" s="71"/>
      <c r="D725" s="72" t="s">
        <v>144</v>
      </c>
      <c r="E725" s="25"/>
      <c r="F725" s="41"/>
      <c r="G725" s="19"/>
      <c r="H725" s="19">
        <f t="shared" si="255"/>
        <v>0</v>
      </c>
      <c r="I725" s="19">
        <f t="shared" si="256"/>
        <v>0</v>
      </c>
      <c r="J725" s="17"/>
      <c r="K725" s="12">
        <f t="shared" si="257"/>
        <v>0</v>
      </c>
      <c r="L725" s="12"/>
      <c r="M725" s="19"/>
      <c r="N725" s="19">
        <f t="shared" si="258"/>
        <v>0</v>
      </c>
      <c r="O725" s="19">
        <f t="shared" si="259"/>
        <v>0</v>
      </c>
      <c r="P725" s="19">
        <f t="shared" si="260"/>
        <v>0</v>
      </c>
      <c r="Q725" s="19">
        <f t="shared" si="261"/>
        <v>0</v>
      </c>
      <c r="R725" s="52"/>
    </row>
    <row r="726" spans="2:36" ht="27.6" x14ac:dyDescent="0.25">
      <c r="B726" s="51">
        <f>IF(F726&lt;&gt;"",1+MAX($B$22:B725),"")</f>
        <v>420</v>
      </c>
      <c r="C726" s="55" t="s">
        <v>200</v>
      </c>
      <c r="D726" s="10" t="s">
        <v>145</v>
      </c>
      <c r="E726" s="25" t="s">
        <v>86</v>
      </c>
      <c r="F726" s="41">
        <v>158.44999999999999</v>
      </c>
      <c r="G726" s="19">
        <v>1.84</v>
      </c>
      <c r="H726" s="19">
        <f t="shared" si="255"/>
        <v>1.8731200000000001</v>
      </c>
      <c r="I726" s="19">
        <f t="shared" si="256"/>
        <v>296.79586399999999</v>
      </c>
      <c r="J726" s="17">
        <v>9.6000000000000002E-2</v>
      </c>
      <c r="K726" s="12">
        <f t="shared" si="257"/>
        <v>15.2112</v>
      </c>
      <c r="L726" s="97" t="s">
        <v>671</v>
      </c>
      <c r="M726" s="98">
        <v>47.02</v>
      </c>
      <c r="N726" s="19">
        <f t="shared" si="258"/>
        <v>39.120640000000002</v>
      </c>
      <c r="O726" s="19">
        <f t="shared" si="259"/>
        <v>3.7555814400000003</v>
      </c>
      <c r="P726" s="19">
        <f t="shared" si="260"/>
        <v>595.07187916800001</v>
      </c>
      <c r="Q726" s="19">
        <f t="shared" si="261"/>
        <v>891.86774316800006</v>
      </c>
      <c r="R726" s="52"/>
    </row>
    <row r="727" spans="2:36" x14ac:dyDescent="0.25">
      <c r="B727" s="51" t="str">
        <f>IF(F727&lt;&gt;"",1+MAX($B$22:B726),"")</f>
        <v/>
      </c>
      <c r="C727" s="55"/>
      <c r="D727" s="10"/>
      <c r="E727" s="25"/>
      <c r="F727" s="41"/>
      <c r="G727" s="19"/>
      <c r="H727" s="19">
        <f t="shared" si="255"/>
        <v>0</v>
      </c>
      <c r="I727" s="19">
        <f t="shared" si="256"/>
        <v>0</v>
      </c>
      <c r="J727" s="17"/>
      <c r="K727" s="12">
        <f t="shared" si="257"/>
        <v>0</v>
      </c>
      <c r="L727" s="12"/>
      <c r="M727" s="19"/>
      <c r="N727" s="19">
        <f t="shared" si="258"/>
        <v>0</v>
      </c>
      <c r="O727" s="19">
        <f t="shared" si="259"/>
        <v>0</v>
      </c>
      <c r="P727" s="19">
        <f t="shared" si="260"/>
        <v>0</v>
      </c>
      <c r="Q727" s="19">
        <f t="shared" si="261"/>
        <v>0</v>
      </c>
      <c r="R727" s="52"/>
    </row>
    <row r="728" spans="2:36" x14ac:dyDescent="0.25">
      <c r="B728" s="70" t="str">
        <f>IF(F728&lt;&gt;"",1+MAX($B$22:B727),"")</f>
        <v/>
      </c>
      <c r="C728" s="71"/>
      <c r="D728" s="72" t="s">
        <v>116</v>
      </c>
      <c r="E728" s="25"/>
      <c r="F728" s="41"/>
      <c r="G728" s="19"/>
      <c r="H728" s="19">
        <f t="shared" si="255"/>
        <v>0</v>
      </c>
      <c r="I728" s="19">
        <f t="shared" si="256"/>
        <v>0</v>
      </c>
      <c r="J728" s="17"/>
      <c r="K728" s="12">
        <f t="shared" si="257"/>
        <v>0</v>
      </c>
      <c r="L728" s="12"/>
      <c r="M728" s="19"/>
      <c r="N728" s="19">
        <f t="shared" si="258"/>
        <v>0</v>
      </c>
      <c r="O728" s="19">
        <f t="shared" si="259"/>
        <v>0</v>
      </c>
      <c r="P728" s="19">
        <f t="shared" si="260"/>
        <v>0</v>
      </c>
      <c r="Q728" s="19">
        <f t="shared" si="261"/>
        <v>0</v>
      </c>
      <c r="R728" s="52"/>
    </row>
    <row r="729" spans="2:36" x14ac:dyDescent="0.25">
      <c r="B729" s="51">
        <f>IF(F729&lt;&gt;"",1+MAX($B$22:B728),"")</f>
        <v>421</v>
      </c>
      <c r="C729" s="55" t="s">
        <v>200</v>
      </c>
      <c r="D729" s="10" t="s">
        <v>131</v>
      </c>
      <c r="E729" s="25" t="s">
        <v>90</v>
      </c>
      <c r="F729" s="41">
        <v>1</v>
      </c>
      <c r="G729" s="19">
        <v>109</v>
      </c>
      <c r="H729" s="19">
        <f t="shared" si="255"/>
        <v>110.962</v>
      </c>
      <c r="I729" s="19">
        <f t="shared" si="256"/>
        <v>110.962</v>
      </c>
      <c r="J729" s="17">
        <v>0.95</v>
      </c>
      <c r="K729" s="12">
        <f t="shared" si="257"/>
        <v>0.95</v>
      </c>
      <c r="L729" s="97" t="s">
        <v>645</v>
      </c>
      <c r="M729" s="98">
        <v>62.3</v>
      </c>
      <c r="N729" s="19">
        <f t="shared" si="258"/>
        <v>51.833599999999997</v>
      </c>
      <c r="O729" s="19">
        <f t="shared" si="259"/>
        <v>49.241919999999993</v>
      </c>
      <c r="P729" s="19">
        <f t="shared" si="260"/>
        <v>49.241919999999993</v>
      </c>
      <c r="Q729" s="19">
        <f t="shared" si="261"/>
        <v>160.20391999999998</v>
      </c>
      <c r="R729" s="52"/>
    </row>
    <row r="730" spans="2:36" x14ac:dyDescent="0.25">
      <c r="B730" s="51" t="str">
        <f>IF(F730&lt;&gt;"",1+MAX($B$22:B729),"")</f>
        <v/>
      </c>
      <c r="C730" s="55"/>
      <c r="D730" s="10"/>
      <c r="E730" s="25"/>
      <c r="F730" s="41"/>
      <c r="G730" s="19"/>
      <c r="H730" s="19">
        <f t="shared" si="255"/>
        <v>0</v>
      </c>
      <c r="I730" s="19">
        <f t="shared" si="256"/>
        <v>0</v>
      </c>
      <c r="J730" s="17"/>
      <c r="K730" s="12">
        <f t="shared" si="257"/>
        <v>0</v>
      </c>
      <c r="L730" s="12"/>
      <c r="M730" s="19"/>
      <c r="N730" s="19">
        <f t="shared" si="258"/>
        <v>0</v>
      </c>
      <c r="O730" s="19">
        <f t="shared" si="259"/>
        <v>0</v>
      </c>
      <c r="P730" s="19">
        <f t="shared" si="260"/>
        <v>0</v>
      </c>
      <c r="Q730" s="19">
        <f t="shared" si="261"/>
        <v>0</v>
      </c>
      <c r="R730" s="52"/>
    </row>
    <row r="731" spans="2:36" s="14" customFormat="1" ht="12.75" customHeight="1" x14ac:dyDescent="0.25">
      <c r="B731" s="15" t="str">
        <f>IF(F731&lt;&gt;"",1+MAX($B$22:B730),"")</f>
        <v/>
      </c>
      <c r="C731" s="15" t="s">
        <v>62</v>
      </c>
      <c r="D731" s="8" t="s">
        <v>29</v>
      </c>
      <c r="E731" s="130" t="s">
        <v>69</v>
      </c>
      <c r="F731" s="130"/>
      <c r="G731" s="130"/>
      <c r="H731" s="54">
        <f>SUM(I732:I737)</f>
        <v>346.12</v>
      </c>
      <c r="I731" s="9">
        <f t="shared" ref="I731:I737" si="263">F731*H731</f>
        <v>0</v>
      </c>
      <c r="J731" s="9"/>
      <c r="K731" s="131" t="s">
        <v>70</v>
      </c>
      <c r="L731" s="131"/>
      <c r="M731" s="131"/>
      <c r="N731" s="131"/>
      <c r="O731" s="54">
        <f>SUM(P732:P737)</f>
        <v>197.59168</v>
      </c>
      <c r="P731" s="9">
        <f t="shared" ref="P731:P737" si="264">F731*O731</f>
        <v>0</v>
      </c>
      <c r="Q731" s="54">
        <f>SUM(Q732:Q737)</f>
        <v>543.71168</v>
      </c>
      <c r="R731" s="50">
        <f>(Q731)+(H731*$Q$8)+(O731*$Q$9)+(Q731*$Q$10)+($Q$11*((Q731)+(H731*$Q$8)+(O731*$Q$9)+(Q731*$Q$10)))+(Q731*$Q$12)</f>
        <v>761.75487135999992</v>
      </c>
      <c r="T731" s="13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F731" s="13"/>
      <c r="AG731" s="13"/>
      <c r="AH731" s="13"/>
      <c r="AI731" s="13"/>
      <c r="AJ731" s="13"/>
    </row>
    <row r="732" spans="2:36" x14ac:dyDescent="0.25">
      <c r="B732" s="51" t="str">
        <f>IF(F732&lt;&gt;"",1+MAX($B$22:B731),"")</f>
        <v/>
      </c>
      <c r="C732" s="55"/>
      <c r="D732" s="10"/>
      <c r="E732" s="25"/>
      <c r="F732" s="41"/>
      <c r="G732" s="19"/>
      <c r="H732" s="19">
        <f t="shared" ref="H732:H737" si="265">G732*$T$2</f>
        <v>0</v>
      </c>
      <c r="I732" s="19">
        <f t="shared" si="263"/>
        <v>0</v>
      </c>
      <c r="J732" s="17"/>
      <c r="K732" s="12">
        <f t="shared" ref="K732:K737" si="266">F732*J732</f>
        <v>0</v>
      </c>
      <c r="L732" s="12"/>
      <c r="M732" s="19"/>
      <c r="N732" s="19">
        <f t="shared" ref="N732:N737" si="267">M732*$U$2</f>
        <v>0</v>
      </c>
      <c r="O732" s="19">
        <f t="shared" ref="O732:O737" si="268">J732*N732</f>
        <v>0</v>
      </c>
      <c r="P732" s="19">
        <f t="shared" si="264"/>
        <v>0</v>
      </c>
      <c r="Q732" s="19">
        <f t="shared" ref="Q732:Q737" si="269">I732+P732</f>
        <v>0</v>
      </c>
      <c r="R732" s="52"/>
      <c r="S732" s="14"/>
    </row>
    <row r="733" spans="2:36" x14ac:dyDescent="0.25">
      <c r="B733" s="70" t="str">
        <f>IF(F733&lt;&gt;"",1+MAX($B$22:B732),"")</f>
        <v/>
      </c>
      <c r="C733" s="71"/>
      <c r="D733" s="72" t="s">
        <v>116</v>
      </c>
      <c r="E733" s="25"/>
      <c r="F733" s="41"/>
      <c r="G733" s="19"/>
      <c r="H733" s="19">
        <f t="shared" si="265"/>
        <v>0</v>
      </c>
      <c r="I733" s="19">
        <f t="shared" si="263"/>
        <v>0</v>
      </c>
      <c r="J733" s="17"/>
      <c r="K733" s="12">
        <f t="shared" si="266"/>
        <v>0</v>
      </c>
      <c r="L733" s="12"/>
      <c r="M733" s="19"/>
      <c r="N733" s="19">
        <f t="shared" si="267"/>
        <v>0</v>
      </c>
      <c r="O733" s="19">
        <f t="shared" si="268"/>
        <v>0</v>
      </c>
      <c r="P733" s="19">
        <f t="shared" si="264"/>
        <v>0</v>
      </c>
      <c r="Q733" s="19">
        <f t="shared" si="269"/>
        <v>0</v>
      </c>
      <c r="R733" s="52"/>
    </row>
    <row r="734" spans="2:36" x14ac:dyDescent="0.25">
      <c r="B734" s="51">
        <f>IF(F734&lt;&gt;"",1+MAX($B$22:B733),"")</f>
        <v>422</v>
      </c>
      <c r="C734" s="132" t="s">
        <v>200</v>
      </c>
      <c r="D734" s="10" t="s">
        <v>117</v>
      </c>
      <c r="E734" s="25" t="s">
        <v>90</v>
      </c>
      <c r="F734" s="41">
        <v>1</v>
      </c>
      <c r="G734" s="19">
        <v>150</v>
      </c>
      <c r="H734" s="19">
        <f t="shared" si="265"/>
        <v>152.69999999999999</v>
      </c>
      <c r="I734" s="19">
        <f t="shared" si="263"/>
        <v>152.69999999999999</v>
      </c>
      <c r="J734" s="17">
        <v>1.35</v>
      </c>
      <c r="K734" s="12">
        <f t="shared" si="266"/>
        <v>1.35</v>
      </c>
      <c r="L734" s="12" t="s">
        <v>649</v>
      </c>
      <c r="M734" s="19">
        <v>64.45</v>
      </c>
      <c r="N734" s="19">
        <f t="shared" si="267"/>
        <v>53.622399999999999</v>
      </c>
      <c r="O734" s="19">
        <f t="shared" si="268"/>
        <v>72.390240000000006</v>
      </c>
      <c r="P734" s="19">
        <f t="shared" si="264"/>
        <v>72.390240000000006</v>
      </c>
      <c r="Q734" s="19">
        <f t="shared" si="269"/>
        <v>225.09023999999999</v>
      </c>
      <c r="R734" s="52"/>
    </row>
    <row r="735" spans="2:36" x14ac:dyDescent="0.25">
      <c r="B735" s="51">
        <f>IF(F735&lt;&gt;"",1+MAX($B$22:B734),"")</f>
        <v>423</v>
      </c>
      <c r="C735" s="132"/>
      <c r="D735" s="10" t="s">
        <v>118</v>
      </c>
      <c r="E735" s="25" t="s">
        <v>90</v>
      </c>
      <c r="F735" s="41">
        <v>1</v>
      </c>
      <c r="G735" s="19">
        <f>G599</f>
        <v>45</v>
      </c>
      <c r="H735" s="19">
        <f t="shared" si="265"/>
        <v>45.81</v>
      </c>
      <c r="I735" s="19">
        <f t="shared" si="263"/>
        <v>45.81</v>
      </c>
      <c r="J735" s="17">
        <f>J599</f>
        <v>0.85</v>
      </c>
      <c r="K735" s="12">
        <f t="shared" si="266"/>
        <v>0.85</v>
      </c>
      <c r="L735" s="12" t="str">
        <f>L599</f>
        <v>1 PLUM</v>
      </c>
      <c r="M735" s="19">
        <f>M599</f>
        <v>64.45</v>
      </c>
      <c r="N735" s="19">
        <f t="shared" si="267"/>
        <v>53.622399999999999</v>
      </c>
      <c r="O735" s="19">
        <f t="shared" si="268"/>
        <v>45.579039999999999</v>
      </c>
      <c r="P735" s="19">
        <f t="shared" si="264"/>
        <v>45.579039999999999</v>
      </c>
      <c r="Q735" s="19">
        <f t="shared" si="269"/>
        <v>91.389039999999994</v>
      </c>
      <c r="R735" s="52"/>
      <c r="S735" s="14"/>
    </row>
    <row r="736" spans="2:36" x14ac:dyDescent="0.25">
      <c r="B736" s="51">
        <f>IF(F736&lt;&gt;"",1+MAX($B$22:B735),"")</f>
        <v>424</v>
      </c>
      <c r="C736" s="132"/>
      <c r="D736" s="78" t="s">
        <v>119</v>
      </c>
      <c r="E736" s="25" t="s">
        <v>90</v>
      </c>
      <c r="F736" s="41">
        <v>1</v>
      </c>
      <c r="G736" s="19">
        <f>G593</f>
        <v>145</v>
      </c>
      <c r="H736" s="19">
        <f t="shared" si="265"/>
        <v>147.61000000000001</v>
      </c>
      <c r="I736" s="19">
        <f t="shared" si="263"/>
        <v>147.61000000000001</v>
      </c>
      <c r="J736" s="17">
        <f>J593</f>
        <v>1.65</v>
      </c>
      <c r="K736" s="12">
        <f t="shared" si="266"/>
        <v>1.65</v>
      </c>
      <c r="L736" s="12" t="str">
        <f>L593</f>
        <v>Q-1</v>
      </c>
      <c r="M736" s="19">
        <f>M593</f>
        <v>58</v>
      </c>
      <c r="N736" s="19">
        <f t="shared" si="267"/>
        <v>48.256</v>
      </c>
      <c r="O736" s="19">
        <f t="shared" si="268"/>
        <v>79.622399999999999</v>
      </c>
      <c r="P736" s="19">
        <f t="shared" si="264"/>
        <v>79.622399999999999</v>
      </c>
      <c r="Q736" s="19">
        <f t="shared" si="269"/>
        <v>227.23240000000001</v>
      </c>
      <c r="R736" s="52"/>
      <c r="S736" s="14"/>
    </row>
    <row r="737" spans="2:36" x14ac:dyDescent="0.25">
      <c r="B737" s="51"/>
      <c r="C737" s="55"/>
      <c r="D737" s="78"/>
      <c r="E737" s="25"/>
      <c r="F737" s="41"/>
      <c r="G737" s="19"/>
      <c r="H737" s="19">
        <f t="shared" si="265"/>
        <v>0</v>
      </c>
      <c r="I737" s="19">
        <f t="shared" si="263"/>
        <v>0</v>
      </c>
      <c r="J737" s="17"/>
      <c r="K737" s="12">
        <f t="shared" si="266"/>
        <v>0</v>
      </c>
      <c r="L737" s="12"/>
      <c r="M737" s="19"/>
      <c r="N737" s="19">
        <f t="shared" si="267"/>
        <v>0</v>
      </c>
      <c r="O737" s="19">
        <f t="shared" si="268"/>
        <v>0</v>
      </c>
      <c r="P737" s="19">
        <f t="shared" si="264"/>
        <v>0</v>
      </c>
      <c r="Q737" s="19">
        <f t="shared" si="269"/>
        <v>0</v>
      </c>
      <c r="R737" s="52"/>
      <c r="S737" s="14"/>
    </row>
    <row r="738" spans="2:36" ht="18" x14ac:dyDescent="0.25">
      <c r="B738" s="145" t="s">
        <v>338</v>
      </c>
      <c r="C738" s="146"/>
      <c r="D738" s="146"/>
      <c r="E738" s="146"/>
      <c r="F738" s="146"/>
      <c r="G738" s="146"/>
      <c r="H738" s="146"/>
      <c r="I738" s="146"/>
      <c r="J738" s="146"/>
      <c r="K738" s="146"/>
      <c r="L738" s="146"/>
      <c r="M738" s="146"/>
      <c r="N738" s="146"/>
      <c r="O738" s="146"/>
      <c r="P738" s="146"/>
      <c r="Q738" s="146"/>
      <c r="R738" s="147"/>
      <c r="S738" s="14"/>
    </row>
    <row r="739" spans="2:36" ht="12.75" customHeight="1" x14ac:dyDescent="0.25">
      <c r="B739" s="141" t="s">
        <v>5</v>
      </c>
      <c r="C739" s="141" t="s">
        <v>63</v>
      </c>
      <c r="D739" s="143" t="s">
        <v>1</v>
      </c>
      <c r="E739" s="141" t="s">
        <v>6</v>
      </c>
      <c r="F739" s="143" t="s">
        <v>21</v>
      </c>
      <c r="G739" s="133" t="s">
        <v>20</v>
      </c>
      <c r="H739" s="134"/>
      <c r="I739" s="135"/>
      <c r="J739" s="136" t="s">
        <v>19</v>
      </c>
      <c r="K739" s="137"/>
      <c r="L739" s="137"/>
      <c r="M739" s="137"/>
      <c r="N739" s="137"/>
      <c r="O739" s="137"/>
      <c r="P739" s="138"/>
      <c r="Q739" s="139" t="s">
        <v>4</v>
      </c>
      <c r="R739" s="139" t="s">
        <v>339</v>
      </c>
      <c r="S739" s="14"/>
    </row>
    <row r="740" spans="2:36" ht="27.75" customHeight="1" x14ac:dyDescent="0.25">
      <c r="B740" s="142"/>
      <c r="C740" s="142"/>
      <c r="D740" s="144"/>
      <c r="E740" s="142"/>
      <c r="F740" s="144"/>
      <c r="G740" s="30" t="s">
        <v>18</v>
      </c>
      <c r="H740" s="67" t="s">
        <v>18</v>
      </c>
      <c r="I740" s="67" t="s">
        <v>17</v>
      </c>
      <c r="J740" s="66" t="s">
        <v>22</v>
      </c>
      <c r="K740" s="66" t="s">
        <v>7</v>
      </c>
      <c r="L740" s="31" t="s">
        <v>64</v>
      </c>
      <c r="M740" s="31" t="s">
        <v>65</v>
      </c>
      <c r="N740" s="66" t="s">
        <v>65</v>
      </c>
      <c r="O740" s="66" t="s">
        <v>18</v>
      </c>
      <c r="P740" s="67" t="s">
        <v>17</v>
      </c>
      <c r="Q740" s="140"/>
      <c r="R740" s="140"/>
      <c r="S740" s="14"/>
    </row>
    <row r="741" spans="2:36" s="14" customFormat="1" x14ac:dyDescent="0.25">
      <c r="B741" s="65" t="str">
        <f>IF(F741&lt;&gt;"",1+MAX($B$2:B740),"")</f>
        <v/>
      </c>
      <c r="C741" s="32"/>
      <c r="D741" s="33"/>
      <c r="E741" s="26"/>
      <c r="F741" s="34"/>
      <c r="G741" s="35"/>
      <c r="H741" s="35"/>
      <c r="I741" s="36"/>
      <c r="J741" s="36"/>
      <c r="K741" s="26"/>
      <c r="L741" s="26"/>
      <c r="M741" s="36"/>
      <c r="N741" s="36"/>
      <c r="O741" s="35"/>
      <c r="P741" s="36"/>
      <c r="Q741" s="37"/>
      <c r="R741" s="49"/>
      <c r="T741" s="13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F741" s="13"/>
      <c r="AG741" s="13"/>
      <c r="AH741" s="13"/>
      <c r="AI741" s="13"/>
      <c r="AJ741" s="13"/>
    </row>
    <row r="742" spans="2:36" s="14" customFormat="1" ht="12.75" customHeight="1" x14ac:dyDescent="0.25">
      <c r="B742" s="15" t="str">
        <f>IF(F742&lt;&gt;"",1+MAX($B$2:B741),"")</f>
        <v/>
      </c>
      <c r="C742" s="15" t="s">
        <v>340</v>
      </c>
      <c r="D742" s="8" t="s">
        <v>341</v>
      </c>
      <c r="E742" s="130" t="s">
        <v>69</v>
      </c>
      <c r="F742" s="130"/>
      <c r="G742" s="130"/>
      <c r="H742" s="54">
        <f>SUM(I743:I745)</f>
        <v>-55.824999999999996</v>
      </c>
      <c r="I742" s="9">
        <f t="shared" ref="I742:I745" si="270">F742*H742</f>
        <v>0</v>
      </c>
      <c r="J742" s="9"/>
      <c r="K742" s="131" t="s">
        <v>70</v>
      </c>
      <c r="L742" s="131"/>
      <c r="M742" s="131"/>
      <c r="N742" s="131"/>
      <c r="O742" s="54">
        <f>SUM(P743:P745)</f>
        <v>-74.884867199999988</v>
      </c>
      <c r="P742" s="9">
        <f t="shared" ref="P742:P745" si="271">F742*O742</f>
        <v>0</v>
      </c>
      <c r="Q742" s="50">
        <f>SUM(Q743:Q745)</f>
        <v>-130.70986719999999</v>
      </c>
      <c r="R742" s="50">
        <f>(Q742)+(H742*$Q$8)+(O742*$Q$9)+(Q742*$Q$10)+($Q$11*((Q742)+(H742*$Q$8)+(O742*$Q$9)+(Q742*$Q$10)))+(Q742*$Q$12)</f>
        <v>-184.24532049439998</v>
      </c>
      <c r="T742" s="13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F742" s="13"/>
      <c r="AG742" s="13"/>
      <c r="AH742" s="13"/>
      <c r="AI742" s="13"/>
      <c r="AJ742" s="13"/>
    </row>
    <row r="743" spans="2:36" x14ac:dyDescent="0.25">
      <c r="B743" s="51" t="str">
        <f>IF(F743&lt;&gt;"",1+MAX($B$2:B742),"")</f>
        <v/>
      </c>
      <c r="C743" s="55"/>
      <c r="D743" s="10"/>
      <c r="E743" s="25"/>
      <c r="F743" s="29"/>
      <c r="G743" s="19"/>
      <c r="H743" s="19">
        <f t="shared" ref="H743:H745" si="272">G743*$T$2</f>
        <v>0</v>
      </c>
      <c r="I743" s="19">
        <f t="shared" si="270"/>
        <v>0</v>
      </c>
      <c r="J743" s="17"/>
      <c r="K743" s="12">
        <f t="shared" ref="K743:K745" si="273">F743*J743</f>
        <v>0</v>
      </c>
      <c r="L743" s="12"/>
      <c r="M743" s="19"/>
      <c r="N743" s="19">
        <f t="shared" ref="N743:N745" si="274">M743*$U$2</f>
        <v>0</v>
      </c>
      <c r="O743" s="19">
        <f t="shared" ref="O743:O745" si="275">J743*N743</f>
        <v>0</v>
      </c>
      <c r="P743" s="19">
        <f t="shared" si="271"/>
        <v>0</v>
      </c>
      <c r="Q743" s="19">
        <f t="shared" ref="Q743:Q745" si="276">I743+P743</f>
        <v>0</v>
      </c>
      <c r="R743" s="52"/>
      <c r="S743" s="14"/>
    </row>
    <row r="744" spans="2:36" ht="82.8" x14ac:dyDescent="0.25">
      <c r="B744" s="51">
        <f>IF(F744&lt;&gt;"",1+MAX($B$22:B743),"")</f>
        <v>425</v>
      </c>
      <c r="C744" s="55" t="s">
        <v>219</v>
      </c>
      <c r="D744" s="10" t="s">
        <v>342</v>
      </c>
      <c r="E744" s="25" t="s">
        <v>86</v>
      </c>
      <c r="F744" s="41">
        <v>-15.95</v>
      </c>
      <c r="G744" s="94">
        <f>G375</f>
        <v>0</v>
      </c>
      <c r="H744" s="19">
        <f>H375</f>
        <v>3.5</v>
      </c>
      <c r="I744" s="19">
        <f t="shared" si="270"/>
        <v>-55.824999999999996</v>
      </c>
      <c r="J744" s="17">
        <f>J375</f>
        <v>0.114</v>
      </c>
      <c r="K744" s="12">
        <f t="shared" si="273"/>
        <v>-1.8183</v>
      </c>
      <c r="L744" s="12" t="str">
        <f>L375</f>
        <v>1 TILF</v>
      </c>
      <c r="M744" s="19">
        <f>M375</f>
        <v>49.5</v>
      </c>
      <c r="N744" s="19">
        <f t="shared" si="274"/>
        <v>41.183999999999997</v>
      </c>
      <c r="O744" s="19">
        <f t="shared" si="275"/>
        <v>4.6949759999999996</v>
      </c>
      <c r="P744" s="19">
        <f t="shared" si="271"/>
        <v>-74.884867199999988</v>
      </c>
      <c r="Q744" s="19">
        <f t="shared" si="276"/>
        <v>-130.70986719999999</v>
      </c>
      <c r="R744" s="52"/>
    </row>
    <row r="745" spans="2:36" x14ac:dyDescent="0.25">
      <c r="B745" s="51"/>
      <c r="C745" s="55"/>
      <c r="D745" s="10"/>
      <c r="E745" s="25"/>
      <c r="F745" s="41"/>
      <c r="G745" s="19"/>
      <c r="H745" s="19">
        <f t="shared" si="272"/>
        <v>0</v>
      </c>
      <c r="I745" s="19">
        <f t="shared" si="270"/>
        <v>0</v>
      </c>
      <c r="J745" s="17"/>
      <c r="K745" s="12">
        <f t="shared" si="273"/>
        <v>0</v>
      </c>
      <c r="L745" s="12"/>
      <c r="M745" s="19"/>
      <c r="N745" s="19">
        <f t="shared" si="274"/>
        <v>0</v>
      </c>
      <c r="O745" s="19">
        <f t="shared" si="275"/>
        <v>0</v>
      </c>
      <c r="P745" s="19">
        <f t="shared" si="271"/>
        <v>0</v>
      </c>
      <c r="Q745" s="19">
        <f t="shared" si="276"/>
        <v>0</v>
      </c>
      <c r="R745" s="52"/>
    </row>
    <row r="746" spans="2:36" s="14" customFormat="1" ht="12.75" customHeight="1" x14ac:dyDescent="0.25">
      <c r="B746" s="15" t="str">
        <f>IF(F746&lt;&gt;"",1+MAX($B$2:B744),"")</f>
        <v/>
      </c>
      <c r="C746" s="15" t="s">
        <v>605</v>
      </c>
      <c r="D746" s="8" t="s">
        <v>604</v>
      </c>
      <c r="E746" s="130" t="s">
        <v>69</v>
      </c>
      <c r="F746" s="130"/>
      <c r="G746" s="130"/>
      <c r="H746" s="54">
        <f>SUM(I747:I752)</f>
        <v>105</v>
      </c>
      <c r="I746" s="9">
        <f t="shared" ref="I746:I753" si="277">F746*H746</f>
        <v>0</v>
      </c>
      <c r="J746" s="9"/>
      <c r="K746" s="131" t="s">
        <v>70</v>
      </c>
      <c r="L746" s="131"/>
      <c r="M746" s="131"/>
      <c r="N746" s="131"/>
      <c r="O746" s="54">
        <f>SUM(P747:P752)</f>
        <v>0</v>
      </c>
      <c r="P746" s="9">
        <f t="shared" ref="P746:P753" si="278">F746*O746</f>
        <v>0</v>
      </c>
      <c r="Q746" s="50">
        <f>SUM(Q747:Q752)</f>
        <v>105.00000000000001</v>
      </c>
      <c r="R746" s="50">
        <f>(Q746)+(H746*$Q$8)+(O746*$Q$9)+(Q746*$Q$10)+($Q$11*((Q746)+(H746*$Q$8)+(O746*$Q$9)+(Q746*$Q$10)))+(Q746*$Q$12)</f>
        <v>145.55100000000002</v>
      </c>
      <c r="T746" s="13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F746" s="13"/>
      <c r="AG746" s="13"/>
      <c r="AH746" s="13"/>
      <c r="AI746" s="13"/>
      <c r="AJ746" s="13"/>
    </row>
    <row r="747" spans="2:36" x14ac:dyDescent="0.25">
      <c r="B747" s="51" t="str">
        <f>IF(F747&lt;&gt;"",1+MAX($B$22:B744),"")</f>
        <v/>
      </c>
      <c r="C747" s="55"/>
      <c r="D747" s="10"/>
      <c r="E747" s="25"/>
      <c r="F747" s="29"/>
      <c r="G747" s="19"/>
      <c r="H747" s="19">
        <f t="shared" ref="H747:H753" si="279">G747*$T$2</f>
        <v>0</v>
      </c>
      <c r="I747" s="19">
        <f t="shared" si="277"/>
        <v>0</v>
      </c>
      <c r="J747" s="17"/>
      <c r="K747" s="12">
        <f t="shared" ref="K747:K753" si="280">F747*J747</f>
        <v>0</v>
      </c>
      <c r="L747" s="12"/>
      <c r="M747" s="19"/>
      <c r="N747" s="19">
        <f t="shared" ref="N747:N753" si="281">M747*$U$2</f>
        <v>0</v>
      </c>
      <c r="O747" s="19">
        <f t="shared" ref="O747:O753" si="282">J747*N747</f>
        <v>0</v>
      </c>
      <c r="P747" s="19">
        <f t="shared" si="278"/>
        <v>0</v>
      </c>
      <c r="Q747" s="19">
        <f t="shared" ref="Q747:Q753" si="283">I747+P747</f>
        <v>0</v>
      </c>
      <c r="R747" s="52"/>
      <c r="S747" s="14"/>
    </row>
    <row r="748" spans="2:36" x14ac:dyDescent="0.25">
      <c r="B748" s="51" t="str">
        <f>IF(F748&lt;&gt;"",1+MAX($B$22:B747),"")</f>
        <v/>
      </c>
      <c r="C748" s="71"/>
      <c r="D748" s="72" t="s">
        <v>597</v>
      </c>
      <c r="E748" s="25"/>
      <c r="F748" s="29"/>
      <c r="G748" s="19"/>
      <c r="H748" s="19">
        <f t="shared" si="279"/>
        <v>0</v>
      </c>
      <c r="I748" s="19">
        <f t="shared" si="277"/>
        <v>0</v>
      </c>
      <c r="J748" s="17"/>
      <c r="K748" s="12">
        <f t="shared" si="280"/>
        <v>0</v>
      </c>
      <c r="L748" s="12"/>
      <c r="M748" s="19"/>
      <c r="N748" s="19">
        <f t="shared" si="281"/>
        <v>0</v>
      </c>
      <c r="O748" s="19">
        <f t="shared" si="282"/>
        <v>0</v>
      </c>
      <c r="P748" s="19">
        <f t="shared" si="278"/>
        <v>0</v>
      </c>
      <c r="Q748" s="19">
        <f t="shared" si="283"/>
        <v>0</v>
      </c>
      <c r="R748" s="52"/>
      <c r="S748" s="14"/>
    </row>
    <row r="749" spans="2:36" ht="110.4" x14ac:dyDescent="0.25">
      <c r="B749" s="51">
        <f>IF(F749&lt;&gt;"",1+MAX($B$22:B748),"")</f>
        <v>426</v>
      </c>
      <c r="C749" s="55" t="s">
        <v>446</v>
      </c>
      <c r="D749" s="10" t="s">
        <v>598</v>
      </c>
      <c r="E749" s="25" t="s">
        <v>90</v>
      </c>
      <c r="F749" s="41">
        <f>1</f>
        <v>1</v>
      </c>
      <c r="G749" s="94"/>
      <c r="H749" s="19">
        <v>105</v>
      </c>
      <c r="I749" s="19">
        <f t="shared" si="277"/>
        <v>105</v>
      </c>
      <c r="J749" s="17">
        <v>0.53600000000000003</v>
      </c>
      <c r="K749" s="12">
        <f t="shared" si="280"/>
        <v>0.53600000000000003</v>
      </c>
      <c r="L749" s="97" t="s">
        <v>629</v>
      </c>
      <c r="M749" s="98">
        <v>53.15</v>
      </c>
      <c r="N749" s="19">
        <f t="shared" si="281"/>
        <v>44.220799999999997</v>
      </c>
      <c r="O749" s="19">
        <f t="shared" si="282"/>
        <v>23.702348799999999</v>
      </c>
      <c r="P749" s="19">
        <f t="shared" si="278"/>
        <v>23.702348799999999</v>
      </c>
      <c r="Q749" s="19">
        <f t="shared" si="283"/>
        <v>128.70234880000001</v>
      </c>
      <c r="R749" s="52"/>
    </row>
    <row r="750" spans="2:36" s="14" customFormat="1" x14ac:dyDescent="0.25">
      <c r="B750" s="51" t="str">
        <f>IF(F750&lt;&gt;"",1+MAX($B$22:B749),"")</f>
        <v/>
      </c>
      <c r="C750" s="55"/>
      <c r="D750" s="53"/>
      <c r="E750" s="25"/>
      <c r="F750" s="41"/>
      <c r="G750" s="19"/>
      <c r="H750" s="19">
        <f t="shared" ref="H750:H752" si="284">G750*$T$2</f>
        <v>0</v>
      </c>
      <c r="I750" s="19">
        <f t="shared" si="277"/>
        <v>0</v>
      </c>
      <c r="J750" s="17"/>
      <c r="K750" s="12">
        <f t="shared" si="280"/>
        <v>0</v>
      </c>
      <c r="L750" s="12"/>
      <c r="M750" s="19"/>
      <c r="N750" s="19">
        <f t="shared" si="281"/>
        <v>0</v>
      </c>
      <c r="O750" s="19">
        <f t="shared" si="282"/>
        <v>0</v>
      </c>
      <c r="P750" s="19">
        <f t="shared" si="278"/>
        <v>0</v>
      </c>
      <c r="Q750" s="19">
        <f t="shared" si="283"/>
        <v>0</v>
      </c>
      <c r="R750" s="52"/>
      <c r="T750" s="13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F750" s="13"/>
      <c r="AG750" s="13"/>
      <c r="AH750" s="13"/>
      <c r="AI750" s="13"/>
      <c r="AJ750" s="13"/>
    </row>
    <row r="751" spans="2:36" x14ac:dyDescent="0.25">
      <c r="B751" s="51" t="str">
        <f>IF(F751&lt;&gt;"",1+MAX($B$22:B750),"")</f>
        <v/>
      </c>
      <c r="C751" s="71"/>
      <c r="D751" s="72" t="s">
        <v>599</v>
      </c>
      <c r="E751" s="25"/>
      <c r="F751" s="29"/>
      <c r="G751" s="19"/>
      <c r="H751" s="19">
        <f t="shared" si="284"/>
        <v>0</v>
      </c>
      <c r="I751" s="19">
        <f t="shared" si="277"/>
        <v>0</v>
      </c>
      <c r="J751" s="17"/>
      <c r="K751" s="12">
        <f t="shared" si="280"/>
        <v>0</v>
      </c>
      <c r="L751" s="12"/>
      <c r="M751" s="19"/>
      <c r="N751" s="19">
        <f t="shared" si="281"/>
        <v>0</v>
      </c>
      <c r="O751" s="19">
        <f t="shared" si="282"/>
        <v>0</v>
      </c>
      <c r="P751" s="19">
        <f t="shared" si="278"/>
        <v>0</v>
      </c>
      <c r="Q751" s="19">
        <f t="shared" si="283"/>
        <v>0</v>
      </c>
      <c r="R751" s="52"/>
      <c r="S751" s="14"/>
    </row>
    <row r="752" spans="2:36" ht="41.4" x14ac:dyDescent="0.25">
      <c r="B752" s="51">
        <f>IF(F752&lt;&gt;"",1+MAX($B$22:B751),"")</f>
        <v>427</v>
      </c>
      <c r="C752" s="55" t="s">
        <v>446</v>
      </c>
      <c r="D752" s="10" t="s">
        <v>469</v>
      </c>
      <c r="E752" s="25" t="s">
        <v>90</v>
      </c>
      <c r="F752" s="41">
        <v>-1</v>
      </c>
      <c r="G752" s="94">
        <f>G496</f>
        <v>0</v>
      </c>
      <c r="H752" s="94">
        <f t="shared" si="284"/>
        <v>0</v>
      </c>
      <c r="I752" s="94">
        <f t="shared" si="277"/>
        <v>0</v>
      </c>
      <c r="J752" s="17">
        <f>J496</f>
        <v>0.53600000000000003</v>
      </c>
      <c r="K752" s="12">
        <f t="shared" si="280"/>
        <v>-0.53600000000000003</v>
      </c>
      <c r="L752" s="12" t="str">
        <f>L496</f>
        <v>1 CARP</v>
      </c>
      <c r="M752" s="19">
        <f>M496</f>
        <v>53.15</v>
      </c>
      <c r="N752" s="19">
        <f t="shared" si="281"/>
        <v>44.220799999999997</v>
      </c>
      <c r="O752" s="19">
        <f t="shared" si="282"/>
        <v>23.702348799999999</v>
      </c>
      <c r="P752" s="19">
        <f t="shared" si="278"/>
        <v>-23.702348799999999</v>
      </c>
      <c r="Q752" s="19">
        <f t="shared" si="283"/>
        <v>-23.702348799999999</v>
      </c>
      <c r="R752" s="52"/>
    </row>
    <row r="753" spans="2:19" x14ac:dyDescent="0.25">
      <c r="B753" s="51" t="str">
        <f>IF(F753&lt;&gt;"",1+MAX($B$22:B736),"")</f>
        <v/>
      </c>
      <c r="C753" s="55"/>
      <c r="D753" s="10"/>
      <c r="E753" s="25"/>
      <c r="F753" s="41"/>
      <c r="G753" s="19"/>
      <c r="H753" s="19">
        <f t="shared" si="279"/>
        <v>0</v>
      </c>
      <c r="I753" s="19">
        <f t="shared" si="277"/>
        <v>0</v>
      </c>
      <c r="J753" s="17"/>
      <c r="K753" s="12">
        <f t="shared" si="280"/>
        <v>0</v>
      </c>
      <c r="L753" s="12"/>
      <c r="M753" s="19"/>
      <c r="N753" s="19">
        <f t="shared" si="281"/>
        <v>0</v>
      </c>
      <c r="O753" s="19">
        <f t="shared" si="282"/>
        <v>0</v>
      </c>
      <c r="P753" s="19">
        <f t="shared" si="278"/>
        <v>0</v>
      </c>
      <c r="Q753" s="19">
        <f t="shared" si="283"/>
        <v>0</v>
      </c>
      <c r="R753" s="52"/>
      <c r="S753" s="14"/>
    </row>
    <row r="754" spans="2:19" x14ac:dyDescent="0.25">
      <c r="S754" s="14"/>
    </row>
    <row r="755" spans="2:19" x14ac:dyDescent="0.25">
      <c r="S755" s="14"/>
    </row>
    <row r="756" spans="2:19" x14ac:dyDescent="0.25">
      <c r="S756" s="14"/>
    </row>
    <row r="757" spans="2:19" x14ac:dyDescent="0.25">
      <c r="S757" s="14"/>
    </row>
    <row r="758" spans="2:19" x14ac:dyDescent="0.25">
      <c r="S758" s="14"/>
    </row>
    <row r="759" spans="2:19" x14ac:dyDescent="0.25">
      <c r="S759" s="14"/>
    </row>
    <row r="760" spans="2:19" x14ac:dyDescent="0.25">
      <c r="S760" s="14"/>
    </row>
    <row r="761" spans="2:19" x14ac:dyDescent="0.25">
      <c r="S761" s="14"/>
    </row>
    <row r="762" spans="2:19" x14ac:dyDescent="0.25">
      <c r="S762" s="14"/>
    </row>
    <row r="763" spans="2:19" x14ac:dyDescent="0.25">
      <c r="S763" s="14"/>
    </row>
    <row r="764" spans="2:19" x14ac:dyDescent="0.25">
      <c r="S764" s="14"/>
    </row>
    <row r="765" spans="2:19" x14ac:dyDescent="0.25">
      <c r="S765" s="14"/>
    </row>
    <row r="766" spans="2:19" x14ac:dyDescent="0.25">
      <c r="S766" s="14"/>
    </row>
    <row r="767" spans="2:19" x14ac:dyDescent="0.25">
      <c r="S767" s="14"/>
    </row>
    <row r="768" spans="2:19" x14ac:dyDescent="0.25">
      <c r="S768" s="14"/>
    </row>
    <row r="769" spans="19:19" x14ac:dyDescent="0.25">
      <c r="S769" s="14"/>
    </row>
    <row r="770" spans="19:19" x14ac:dyDescent="0.25">
      <c r="S770" s="14"/>
    </row>
    <row r="771" spans="19:19" x14ac:dyDescent="0.25">
      <c r="S771" s="14"/>
    </row>
    <row r="772" spans="19:19" x14ac:dyDescent="0.25">
      <c r="S772" s="14"/>
    </row>
    <row r="773" spans="19:19" x14ac:dyDescent="0.25">
      <c r="S773" s="14"/>
    </row>
    <row r="774" spans="19:19" x14ac:dyDescent="0.25">
      <c r="S774" s="14"/>
    </row>
    <row r="775" spans="19:19" x14ac:dyDescent="0.25">
      <c r="S775" s="14"/>
    </row>
    <row r="776" spans="19:19" x14ac:dyDescent="0.25">
      <c r="S776" s="14"/>
    </row>
    <row r="777" spans="19:19" x14ac:dyDescent="0.25">
      <c r="S777" s="14"/>
    </row>
    <row r="778" spans="19:19" x14ac:dyDescent="0.25">
      <c r="S778" s="14"/>
    </row>
    <row r="779" spans="19:19" x14ac:dyDescent="0.25">
      <c r="S779" s="14"/>
    </row>
    <row r="780" spans="19:19" x14ac:dyDescent="0.25">
      <c r="S780" s="14"/>
    </row>
    <row r="781" spans="19:19" x14ac:dyDescent="0.25">
      <c r="S781" s="14"/>
    </row>
  </sheetData>
  <mergeCells count="142">
    <mergeCell ref="E103:G103"/>
    <mergeCell ref="E473:G473"/>
    <mergeCell ref="K473:N473"/>
    <mergeCell ref="E511:G511"/>
    <mergeCell ref="C683:C684"/>
    <mergeCell ref="K700:N700"/>
    <mergeCell ref="K612:N612"/>
    <mergeCell ref="C86:C89"/>
    <mergeCell ref="C170:C174"/>
    <mergeCell ref="C238:C239"/>
    <mergeCell ref="C248:C249"/>
    <mergeCell ref="C252:C253"/>
    <mergeCell ref="C346:C350"/>
    <mergeCell ref="C353:C362"/>
    <mergeCell ref="C365:C366"/>
    <mergeCell ref="C476:C496"/>
    <mergeCell ref="C499:C500"/>
    <mergeCell ref="C503:C505"/>
    <mergeCell ref="C514:C524"/>
    <mergeCell ref="C529:C531"/>
    <mergeCell ref="C537:C543"/>
    <mergeCell ref="C554:C564"/>
    <mergeCell ref="C567:C572"/>
    <mergeCell ref="C578:C579"/>
    <mergeCell ref="K83:N83"/>
    <mergeCell ref="E21:G21"/>
    <mergeCell ref="K21:N21"/>
    <mergeCell ref="E83:G83"/>
    <mergeCell ref="I11:P11"/>
    <mergeCell ref="I12:P12"/>
    <mergeCell ref="F18:F19"/>
    <mergeCell ref="I13:P13"/>
    <mergeCell ref="I14:P14"/>
    <mergeCell ref="E16:I17"/>
    <mergeCell ref="J16:R17"/>
    <mergeCell ref="K42:N42"/>
    <mergeCell ref="E61:G61"/>
    <mergeCell ref="K61:N61"/>
    <mergeCell ref="J15:R15"/>
    <mergeCell ref="E15:I15"/>
    <mergeCell ref="K25:N25"/>
    <mergeCell ref="E25:G25"/>
    <mergeCell ref="E42:G42"/>
    <mergeCell ref="B2:R2"/>
    <mergeCell ref="B18:B19"/>
    <mergeCell ref="E18:E19"/>
    <mergeCell ref="D18:D19"/>
    <mergeCell ref="G18:I18"/>
    <mergeCell ref="I3:R3"/>
    <mergeCell ref="R18:R19"/>
    <mergeCell ref="J18:P18"/>
    <mergeCell ref="Q18:Q19"/>
    <mergeCell ref="C18:C19"/>
    <mergeCell ref="I5:P5"/>
    <mergeCell ref="I6:P6"/>
    <mergeCell ref="I4:R4"/>
    <mergeCell ref="I7:P7"/>
    <mergeCell ref="I8:P8"/>
    <mergeCell ref="I9:P9"/>
    <mergeCell ref="B16:C17"/>
    <mergeCell ref="B15:C15"/>
    <mergeCell ref="C165:C167"/>
    <mergeCell ref="C64:C66"/>
    <mergeCell ref="C625:C640"/>
    <mergeCell ref="C643:C653"/>
    <mergeCell ref="C656:C668"/>
    <mergeCell ref="C674:C677"/>
    <mergeCell ref="B3:H3"/>
    <mergeCell ref="B4:H4"/>
    <mergeCell ref="I10:P10"/>
    <mergeCell ref="C28:C33"/>
    <mergeCell ref="C38:C40"/>
    <mergeCell ref="K511:N511"/>
    <mergeCell ref="E526:G526"/>
    <mergeCell ref="K526:N526"/>
    <mergeCell ref="E545:G545"/>
    <mergeCell ref="K545:N545"/>
    <mergeCell ref="K103:N103"/>
    <mergeCell ref="K368:N368"/>
    <mergeCell ref="E241:G241"/>
    <mergeCell ref="K241:N241"/>
    <mergeCell ref="E310:G310"/>
    <mergeCell ref="K310:N310"/>
    <mergeCell ref="E368:G368"/>
    <mergeCell ref="C621:C622"/>
    <mergeCell ref="C45:C49"/>
    <mergeCell ref="C55:C56"/>
    <mergeCell ref="C68:C70"/>
    <mergeCell ref="C117:C119"/>
    <mergeCell ref="C122:C131"/>
    <mergeCell ref="C155:C161"/>
    <mergeCell ref="C134:C135"/>
    <mergeCell ref="C138:C151"/>
    <mergeCell ref="C97:C101"/>
    <mergeCell ref="C92:C94"/>
    <mergeCell ref="B739:B740"/>
    <mergeCell ref="C739:C740"/>
    <mergeCell ref="D739:D740"/>
    <mergeCell ref="E739:E740"/>
    <mergeCell ref="F739:F740"/>
    <mergeCell ref="C462:C463"/>
    <mergeCell ref="C466:C471"/>
    <mergeCell ref="B738:R738"/>
    <mergeCell ref="C433:C459"/>
    <mergeCell ref="E612:G612"/>
    <mergeCell ref="E550:G550"/>
    <mergeCell ref="K550:N550"/>
    <mergeCell ref="E604:G604"/>
    <mergeCell ref="K604:N604"/>
    <mergeCell ref="E731:G731"/>
    <mergeCell ref="K731:N731"/>
    <mergeCell ref="E689:G689"/>
    <mergeCell ref="K689:N689"/>
    <mergeCell ref="E700:G700"/>
    <mergeCell ref="C734:C736"/>
    <mergeCell ref="C703:C707"/>
    <mergeCell ref="C710:C720"/>
    <mergeCell ref="C584:C585"/>
    <mergeCell ref="C588:C590"/>
    <mergeCell ref="E746:G746"/>
    <mergeCell ref="K746:N746"/>
    <mergeCell ref="C315:C343"/>
    <mergeCell ref="C256:C261"/>
    <mergeCell ref="G739:I739"/>
    <mergeCell ref="J739:P739"/>
    <mergeCell ref="Q739:Q740"/>
    <mergeCell ref="R739:R740"/>
    <mergeCell ref="E742:G742"/>
    <mergeCell ref="K742:N742"/>
    <mergeCell ref="C396:C406"/>
    <mergeCell ref="C409:C416"/>
    <mergeCell ref="C419:C428"/>
    <mergeCell ref="C287:C289"/>
    <mergeCell ref="C301:C305"/>
    <mergeCell ref="C371:C384"/>
    <mergeCell ref="C387:C390"/>
    <mergeCell ref="C393:C394"/>
    <mergeCell ref="C267:C268"/>
    <mergeCell ref="C271:C273"/>
    <mergeCell ref="C279:C280"/>
    <mergeCell ref="C283:C284"/>
    <mergeCell ref="C615:C618"/>
  </mergeCells>
  <phoneticPr fontId="0" type="noConversion"/>
  <printOptions horizontalCentered="1"/>
  <pageMargins left="0.25" right="0.25" top="0.375" bottom="0.375" header="0.25" footer="0.25"/>
  <pageSetup paperSize="9" scale="66" fitToHeight="0" orientation="landscape" horizontalDpi="300" verticalDpi="300" r:id="rId1"/>
  <headerFooter alignWithMargins="0">
    <oddFooter>&amp;R&amp;"Arial,Bold"&amp;P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d = " h t t p : / / w w w . w 3 . o r g / 2 0 0 1 / X M L S c h e m a "   x m l n s : x s i = " h t t p : / / w w w . w 3 . o r g / 2 0 0 1 / X M L S c h e m a - i n s t a n c e " > < T o k e n s / > < / S w i f t T o k e n s > 
</file>

<file path=customXml/itemProps1.xml><?xml version="1.0" encoding="utf-8"?>
<ds:datastoreItem xmlns:ds="http://schemas.openxmlformats.org/officeDocument/2006/customXml" ds:itemID="{4B329677-87DE-4006-89A8-42AE23E7C71A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Summary</vt:lpstr>
      <vt:lpstr>Detailed Estimate Sheet</vt:lpstr>
      <vt:lpstr>'Detailed Estimate Sheet'!Print_Area</vt:lpstr>
      <vt:lpstr>Summary!Print_Area</vt:lpstr>
      <vt:lpstr>'Detailed Estimate Sheet'!Print_Titles</vt:lpstr>
      <vt:lpstr>Summary!Print_Titles</vt:lpstr>
    </vt:vector>
  </TitlesOfParts>
  <LinksUpToDate>false</LinksUpToDate>
  <SharedDoc>false</SharedDoc>
  <HyperlinkBase>www.4Clicks.com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Uswa Fatima</cp:lastModifiedBy>
  <cp:lastPrinted>2021-03-26T10:51:37Z</cp:lastPrinted>
  <dcterms:created xsi:type="dcterms:W3CDTF">1998-02-12T14:30:11Z</dcterms:created>
  <dcterms:modified xsi:type="dcterms:W3CDTF">2026-02-05T12:03:36Z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lanSwiftJobName">
    <vt:lpwstr/>
  </property>
  <property fmtid="{D5CDD505-2E9C-101B-9397-08002B2CF9AE}" pid="3" name="PlanSwiftJobGuid">
    <vt:lpwstr/>
  </property>
  <property fmtid="{D5CDD505-2E9C-101B-9397-08002B2CF9AE}" pid="4" name="LinkedDataId">
    <vt:lpwstr>{4B329677-87DE-4006-89A8-42AE23E7C71A}</vt:lpwstr>
  </property>
</Properties>
</file>