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F72145-09BB-4765-961F-1CE0A822C039}" xr6:coauthVersionLast="47" xr6:coauthVersionMax="47" xr10:uidLastSave="{00000000-0000-0000-0000-000000000000}"/>
  <bookViews>
    <workbookView xWindow="-108" yWindow="-108" windowWidth="23256" windowHeight="12576" tabRatio="512" activeTab="1" xr2:uid="{00000000-000D-0000-FFFF-FFFF00000000}"/>
  </bookViews>
  <sheets>
    <sheet name="Summary" sheetId="2" r:id="rId1"/>
    <sheet name="Detailed Estimate Sheet" sheetId="1" r:id="rId2"/>
  </sheets>
  <definedNames>
    <definedName name="_xlnm.Print_Area" localSheetId="1">'Detailed Estimate Sheet'!$B$2:$R$447</definedName>
    <definedName name="_xlnm.Print_Area" localSheetId="0">Summary!$B$2:$G$36</definedName>
    <definedName name="_xlnm.Print_Titles" localSheetId="1">'Detailed Estimate Sheet'!$2:$19</definedName>
    <definedName name="_xlnm.Print_Titles" localSheetId="0">Summary!$2:$16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7" i="1" l="1"/>
  <c r="K287" i="1"/>
  <c r="H287" i="1"/>
  <c r="I287" i="1" s="1"/>
  <c r="N286" i="1"/>
  <c r="K286" i="1"/>
  <c r="H286" i="1"/>
  <c r="I286" i="1" s="1"/>
  <c r="N285" i="1"/>
  <c r="K285" i="1"/>
  <c r="H285" i="1"/>
  <c r="I285" i="1" s="1"/>
  <c r="J293" i="1"/>
  <c r="K293" i="1" s="1"/>
  <c r="G293" i="1"/>
  <c r="H293" i="1" s="1"/>
  <c r="I293" i="1" s="1"/>
  <c r="H446" i="1"/>
  <c r="K443" i="1"/>
  <c r="H443" i="1"/>
  <c r="I443" i="1" s="1"/>
  <c r="K440" i="1"/>
  <c r="H440" i="1"/>
  <c r="I440" i="1" s="1"/>
  <c r="K437" i="1"/>
  <c r="H437" i="1"/>
  <c r="I437" i="1" s="1"/>
  <c r="K432" i="1"/>
  <c r="H432" i="1"/>
  <c r="I432" i="1" s="1"/>
  <c r="K429" i="1"/>
  <c r="H429" i="1"/>
  <c r="I429" i="1" s="1"/>
  <c r="K424" i="1"/>
  <c r="H424" i="1"/>
  <c r="I424" i="1" s="1"/>
  <c r="H421" i="1"/>
  <c r="H420" i="1"/>
  <c r="I420" i="1" s="1"/>
  <c r="K420" i="1"/>
  <c r="K418" i="1"/>
  <c r="H418" i="1"/>
  <c r="I418" i="1" s="1"/>
  <c r="K413" i="1"/>
  <c r="H413" i="1"/>
  <c r="I413" i="1" s="1"/>
  <c r="K410" i="1"/>
  <c r="H410" i="1"/>
  <c r="I410" i="1" s="1"/>
  <c r="K409" i="1"/>
  <c r="H409" i="1"/>
  <c r="I409" i="1" s="1"/>
  <c r="K406" i="1"/>
  <c r="H406" i="1"/>
  <c r="I406" i="1" s="1"/>
  <c r="K396" i="1"/>
  <c r="H396" i="1"/>
  <c r="I396" i="1" s="1"/>
  <c r="K402" i="1"/>
  <c r="H402" i="1"/>
  <c r="I402" i="1" s="1"/>
  <c r="K401" i="1"/>
  <c r="H401" i="1"/>
  <c r="I401" i="1" s="1"/>
  <c r="K400" i="1"/>
  <c r="H400" i="1"/>
  <c r="I400" i="1" s="1"/>
  <c r="K399" i="1"/>
  <c r="H399" i="1"/>
  <c r="I399" i="1" s="1"/>
  <c r="K395" i="1"/>
  <c r="H395" i="1"/>
  <c r="I395" i="1" s="1"/>
  <c r="K394" i="1"/>
  <c r="H394" i="1"/>
  <c r="I394" i="1" s="1"/>
  <c r="K393" i="1"/>
  <c r="H393" i="1"/>
  <c r="I393" i="1" s="1"/>
  <c r="K386" i="1"/>
  <c r="K387" i="1"/>
  <c r="K388" i="1"/>
  <c r="K389" i="1"/>
  <c r="K385" i="1"/>
  <c r="K380" i="1"/>
  <c r="K373" i="1"/>
  <c r="H373" i="1"/>
  <c r="I373" i="1" s="1"/>
  <c r="K374" i="1"/>
  <c r="H374" i="1"/>
  <c r="I374" i="1" s="1"/>
  <c r="K372" i="1"/>
  <c r="H372" i="1"/>
  <c r="I372" i="1" s="1"/>
  <c r="K371" i="1"/>
  <c r="H371" i="1"/>
  <c r="I371" i="1" s="1"/>
  <c r="K370" i="1"/>
  <c r="H370" i="1"/>
  <c r="I370" i="1" s="1"/>
  <c r="K365" i="1"/>
  <c r="H365" i="1"/>
  <c r="I365" i="1" s="1"/>
  <c r="K362" i="1"/>
  <c r="H362" i="1"/>
  <c r="I362" i="1" s="1"/>
  <c r="K359" i="1"/>
  <c r="G359" i="1"/>
  <c r="H359" i="1" s="1"/>
  <c r="I359" i="1" s="1"/>
  <c r="H354" i="1"/>
  <c r="H353" i="1"/>
  <c r="H352" i="1"/>
  <c r="H344" i="1"/>
  <c r="K337" i="1"/>
  <c r="H337" i="1"/>
  <c r="I337" i="1" s="1"/>
  <c r="N349" i="1"/>
  <c r="O349" i="1" s="1"/>
  <c r="H349" i="1"/>
  <c r="N348" i="1"/>
  <c r="O348" i="1" s="1"/>
  <c r="H348" i="1"/>
  <c r="N347" i="1"/>
  <c r="O347" i="1" s="1"/>
  <c r="H347" i="1"/>
  <c r="N346" i="1"/>
  <c r="O346" i="1" s="1"/>
  <c r="H346" i="1"/>
  <c r="N345" i="1"/>
  <c r="O345" i="1" s="1"/>
  <c r="H345" i="1"/>
  <c r="N344" i="1"/>
  <c r="O344" i="1" s="1"/>
  <c r="N342" i="1"/>
  <c r="O342" i="1" s="1"/>
  <c r="H342" i="1"/>
  <c r="N341" i="1"/>
  <c r="O341" i="1" s="1"/>
  <c r="H341" i="1"/>
  <c r="N340" i="1"/>
  <c r="O340" i="1" s="1"/>
  <c r="H340" i="1"/>
  <c r="O339" i="1"/>
  <c r="N339" i="1"/>
  <c r="H339" i="1"/>
  <c r="N338" i="1"/>
  <c r="O338" i="1" s="1"/>
  <c r="H338" i="1"/>
  <c r="N337" i="1"/>
  <c r="O337" i="1" s="1"/>
  <c r="P337" i="1" s="1"/>
  <c r="N335" i="1"/>
  <c r="O335" i="1" s="1"/>
  <c r="H335" i="1"/>
  <c r="N334" i="1"/>
  <c r="O334" i="1" s="1"/>
  <c r="H334" i="1"/>
  <c r="O333" i="1"/>
  <c r="N333" i="1"/>
  <c r="H333" i="1"/>
  <c r="N332" i="1"/>
  <c r="O332" i="1" s="1"/>
  <c r="H332" i="1"/>
  <c r="N331" i="1"/>
  <c r="O331" i="1" s="1"/>
  <c r="H331" i="1"/>
  <c r="N330" i="1"/>
  <c r="O330" i="1" s="1"/>
  <c r="P330" i="1" s="1"/>
  <c r="K330" i="1"/>
  <c r="H330" i="1"/>
  <c r="I330" i="1" s="1"/>
  <c r="N327" i="1"/>
  <c r="O327" i="1" s="1"/>
  <c r="H327" i="1"/>
  <c r="N326" i="1"/>
  <c r="O326" i="1" s="1"/>
  <c r="H326" i="1"/>
  <c r="N325" i="1"/>
  <c r="O325" i="1" s="1"/>
  <c r="H325" i="1"/>
  <c r="N324" i="1"/>
  <c r="O324" i="1" s="1"/>
  <c r="H324" i="1"/>
  <c r="N323" i="1"/>
  <c r="O323" i="1" s="1"/>
  <c r="H323" i="1"/>
  <c r="N322" i="1"/>
  <c r="O322" i="1" s="1"/>
  <c r="H322" i="1"/>
  <c r="N320" i="1"/>
  <c r="O320" i="1" s="1"/>
  <c r="H320" i="1"/>
  <c r="N319" i="1"/>
  <c r="O319" i="1" s="1"/>
  <c r="H319" i="1"/>
  <c r="N318" i="1"/>
  <c r="O318" i="1" s="1"/>
  <c r="H318" i="1"/>
  <c r="N317" i="1"/>
  <c r="O317" i="1" s="1"/>
  <c r="H317" i="1"/>
  <c r="N316" i="1"/>
  <c r="O316" i="1" s="1"/>
  <c r="H316" i="1"/>
  <c r="N315" i="1"/>
  <c r="O315" i="1" s="1"/>
  <c r="P315" i="1" s="1"/>
  <c r="K315" i="1"/>
  <c r="H315" i="1"/>
  <c r="I315" i="1" s="1"/>
  <c r="K303" i="1"/>
  <c r="H303" i="1"/>
  <c r="I303" i="1" s="1"/>
  <c r="K302" i="1"/>
  <c r="H302" i="1"/>
  <c r="I302" i="1" s="1"/>
  <c r="K299" i="1"/>
  <c r="H299" i="1"/>
  <c r="I299" i="1" s="1"/>
  <c r="K298" i="1"/>
  <c r="H298" i="1"/>
  <c r="I298" i="1" s="1"/>
  <c r="J281" i="1"/>
  <c r="K281" i="1" s="1"/>
  <c r="G281" i="1"/>
  <c r="H281" i="1" s="1"/>
  <c r="I281" i="1" s="1"/>
  <c r="K292" i="1"/>
  <c r="H292" i="1"/>
  <c r="I292" i="1" s="1"/>
  <c r="K291" i="1"/>
  <c r="H291" i="1"/>
  <c r="I291" i="1" s="1"/>
  <c r="K290" i="1"/>
  <c r="H290" i="1"/>
  <c r="I290" i="1" s="1"/>
  <c r="K289" i="1"/>
  <c r="H289" i="1"/>
  <c r="I289" i="1" s="1"/>
  <c r="K288" i="1"/>
  <c r="H288" i="1"/>
  <c r="I288" i="1" s="1"/>
  <c r="K284" i="1"/>
  <c r="H284" i="1"/>
  <c r="I284" i="1" s="1"/>
  <c r="K278" i="1"/>
  <c r="H278" i="1"/>
  <c r="I278" i="1" s="1"/>
  <c r="K277" i="1"/>
  <c r="H277" i="1"/>
  <c r="I277" i="1" s="1"/>
  <c r="K276" i="1"/>
  <c r="H276" i="1"/>
  <c r="I276" i="1" s="1"/>
  <c r="K273" i="1"/>
  <c r="H273" i="1"/>
  <c r="I273" i="1" s="1"/>
  <c r="K265" i="1"/>
  <c r="H265" i="1"/>
  <c r="I265" i="1" s="1"/>
  <c r="K264" i="1"/>
  <c r="H264" i="1"/>
  <c r="I264" i="1" s="1"/>
  <c r="K263" i="1"/>
  <c r="H263" i="1"/>
  <c r="I263" i="1" s="1"/>
  <c r="K262" i="1"/>
  <c r="H262" i="1"/>
  <c r="I262" i="1" s="1"/>
  <c r="K269" i="1"/>
  <c r="H269" i="1"/>
  <c r="I269" i="1" s="1"/>
  <c r="K268" i="1"/>
  <c r="H268" i="1"/>
  <c r="I268" i="1" s="1"/>
  <c r="K255" i="1"/>
  <c r="H255" i="1"/>
  <c r="I255" i="1" s="1"/>
  <c r="K254" i="1"/>
  <c r="H254" i="1"/>
  <c r="I254" i="1" s="1"/>
  <c r="K251" i="1"/>
  <c r="H251" i="1"/>
  <c r="I251" i="1" s="1"/>
  <c r="H243" i="1"/>
  <c r="H244" i="1"/>
  <c r="K245" i="1"/>
  <c r="H245" i="1"/>
  <c r="I245" i="1" s="1"/>
  <c r="H242" i="1"/>
  <c r="K246" i="1"/>
  <c r="H246" i="1"/>
  <c r="I246" i="1" s="1"/>
  <c r="H236" i="1"/>
  <c r="H216" i="1"/>
  <c r="H220" i="1"/>
  <c r="H219" i="1"/>
  <c r="H215" i="1"/>
  <c r="H224" i="1"/>
  <c r="K223" i="1"/>
  <c r="H223" i="1"/>
  <c r="I223" i="1" s="1"/>
  <c r="H212" i="1"/>
  <c r="K211" i="1"/>
  <c r="H211" i="1"/>
  <c r="I211" i="1" s="1"/>
  <c r="H208" i="1"/>
  <c r="K207" i="1"/>
  <c r="H207" i="1"/>
  <c r="I207" i="1" s="1"/>
  <c r="H204" i="1"/>
  <c r="K185" i="1"/>
  <c r="H185" i="1"/>
  <c r="I185" i="1" s="1"/>
  <c r="H199" i="1"/>
  <c r="I199" i="1" s="1"/>
  <c r="K199" i="1"/>
  <c r="K197" i="1"/>
  <c r="H197" i="1"/>
  <c r="I197" i="1" s="1"/>
  <c r="K196" i="1"/>
  <c r="H196" i="1"/>
  <c r="I196" i="1" s="1"/>
  <c r="K193" i="1"/>
  <c r="H193" i="1"/>
  <c r="I193" i="1" s="1"/>
  <c r="K190" i="1"/>
  <c r="H190" i="1"/>
  <c r="I190" i="1" s="1"/>
  <c r="H177" i="1"/>
  <c r="H148" i="1"/>
  <c r="I148" i="1" s="1"/>
  <c r="K158" i="1"/>
  <c r="H158" i="1"/>
  <c r="I158" i="1" s="1"/>
  <c r="K163" i="1"/>
  <c r="H163" i="1"/>
  <c r="I163" i="1" s="1"/>
  <c r="H162" i="1"/>
  <c r="H161" i="1"/>
  <c r="H166" i="1"/>
  <c r="K169" i="1"/>
  <c r="H169" i="1"/>
  <c r="I169" i="1" s="1"/>
  <c r="K182" i="1"/>
  <c r="H182" i="1"/>
  <c r="I182" i="1" s="1"/>
  <c r="K181" i="1"/>
  <c r="N181" i="1"/>
  <c r="H181" i="1"/>
  <c r="I181" i="1" s="1"/>
  <c r="H178" i="1"/>
  <c r="K175" i="1"/>
  <c r="H175" i="1"/>
  <c r="I175" i="1" s="1"/>
  <c r="H173" i="1"/>
  <c r="H176" i="1"/>
  <c r="K174" i="1"/>
  <c r="H174" i="1"/>
  <c r="I174" i="1" s="1"/>
  <c r="H172" i="1"/>
  <c r="H155" i="1"/>
  <c r="H153" i="1"/>
  <c r="K154" i="1"/>
  <c r="H154" i="1"/>
  <c r="I154" i="1" s="1"/>
  <c r="K148" i="1"/>
  <c r="K147" i="1"/>
  <c r="H147" i="1"/>
  <c r="I147" i="1" s="1"/>
  <c r="K146" i="1"/>
  <c r="H146" i="1"/>
  <c r="I146" i="1" s="1"/>
  <c r="K149" i="1"/>
  <c r="H149" i="1"/>
  <c r="I149" i="1" s="1"/>
  <c r="K152" i="1"/>
  <c r="H152" i="1"/>
  <c r="I152" i="1" s="1"/>
  <c r="K151" i="1"/>
  <c r="H151" i="1"/>
  <c r="I151" i="1" s="1"/>
  <c r="K150" i="1"/>
  <c r="H150" i="1"/>
  <c r="I150" i="1" s="1"/>
  <c r="K145" i="1"/>
  <c r="H145" i="1"/>
  <c r="I145" i="1" s="1"/>
  <c r="K144" i="1"/>
  <c r="H144" i="1"/>
  <c r="I144" i="1" s="1"/>
  <c r="H141" i="1"/>
  <c r="H140" i="1"/>
  <c r="H139" i="1"/>
  <c r="H138" i="1"/>
  <c r="H137" i="1"/>
  <c r="H136" i="1"/>
  <c r="H135" i="1"/>
  <c r="H134" i="1"/>
  <c r="K131" i="1"/>
  <c r="H131" i="1"/>
  <c r="I131" i="1" s="1"/>
  <c r="H229" i="1"/>
  <c r="N229" i="1"/>
  <c r="O229" i="1" s="1"/>
  <c r="H228" i="1"/>
  <c r="K227" i="1"/>
  <c r="H227" i="1"/>
  <c r="I227" i="1" s="1"/>
  <c r="K233" i="1"/>
  <c r="H233" i="1"/>
  <c r="I233" i="1" s="1"/>
  <c r="H232" i="1"/>
  <c r="K128" i="1"/>
  <c r="H128" i="1"/>
  <c r="I128" i="1" s="1"/>
  <c r="H127" i="1"/>
  <c r="K124" i="1"/>
  <c r="H124" i="1"/>
  <c r="I124" i="1" s="1"/>
  <c r="K114" i="1"/>
  <c r="H114" i="1"/>
  <c r="I114" i="1" s="1"/>
  <c r="K113" i="1"/>
  <c r="H113" i="1"/>
  <c r="I113" i="1" s="1"/>
  <c r="K122" i="1"/>
  <c r="H122" i="1"/>
  <c r="I122" i="1" s="1"/>
  <c r="K121" i="1"/>
  <c r="H121" i="1"/>
  <c r="I121" i="1" s="1"/>
  <c r="K120" i="1"/>
  <c r="H120" i="1"/>
  <c r="I120" i="1" s="1"/>
  <c r="K119" i="1"/>
  <c r="H119" i="1"/>
  <c r="I119" i="1" s="1"/>
  <c r="K118" i="1"/>
  <c r="H118" i="1"/>
  <c r="I118" i="1" s="1"/>
  <c r="K117" i="1"/>
  <c r="H117" i="1"/>
  <c r="I117" i="1" s="1"/>
  <c r="K112" i="1"/>
  <c r="K111" i="1"/>
  <c r="H112" i="1"/>
  <c r="I112" i="1" s="1"/>
  <c r="H111" i="1"/>
  <c r="I111" i="1" s="1"/>
  <c r="K99" i="1"/>
  <c r="H99" i="1"/>
  <c r="I99" i="1" s="1"/>
  <c r="H95" i="1"/>
  <c r="N88" i="1"/>
  <c r="O88" i="1" s="1"/>
  <c r="H88" i="1"/>
  <c r="H83" i="1"/>
  <c r="H80" i="1"/>
  <c r="H77" i="1"/>
  <c r="H74" i="1"/>
  <c r="H73" i="1"/>
  <c r="K68" i="1"/>
  <c r="H68" i="1"/>
  <c r="I68" i="1" s="1"/>
  <c r="K63" i="1"/>
  <c r="H63" i="1"/>
  <c r="I63" i="1" s="1"/>
  <c r="H60" i="1"/>
  <c r="H59" i="1"/>
  <c r="H58" i="1"/>
  <c r="Q315" i="1" l="1"/>
  <c r="Q337" i="1"/>
  <c r="H380" i="1"/>
  <c r="I380" i="1" s="1"/>
  <c r="Q330" i="1"/>
  <c r="O181" i="1"/>
  <c r="P181" i="1" s="1"/>
  <c r="Q181" i="1" s="1"/>
  <c r="K55" i="1" l="1"/>
  <c r="N55" i="1"/>
  <c r="H55" i="1"/>
  <c r="I55" i="1" s="1"/>
  <c r="N54" i="1"/>
  <c r="O54" i="1" s="1"/>
  <c r="P54" i="1" s="1"/>
  <c r="K54" i="1"/>
  <c r="H54" i="1"/>
  <c r="I54" i="1" s="1"/>
  <c r="N53" i="1"/>
  <c r="O53" i="1" s="1"/>
  <c r="P53" i="1" s="1"/>
  <c r="K53" i="1"/>
  <c r="H53" i="1"/>
  <c r="I53" i="1" s="1"/>
  <c r="N52" i="1"/>
  <c r="K52" i="1"/>
  <c r="H52" i="1"/>
  <c r="I52" i="1" s="1"/>
  <c r="N51" i="1"/>
  <c r="K51" i="1"/>
  <c r="H51" i="1"/>
  <c r="I51" i="1" s="1"/>
  <c r="N50" i="1"/>
  <c r="O50" i="1" s="1"/>
  <c r="P50" i="1" s="1"/>
  <c r="K50" i="1"/>
  <c r="H50" i="1"/>
  <c r="I50" i="1" s="1"/>
  <c r="N49" i="1"/>
  <c r="O49" i="1" s="1"/>
  <c r="P49" i="1" s="1"/>
  <c r="K49" i="1"/>
  <c r="H49" i="1"/>
  <c r="I49" i="1" s="1"/>
  <c r="N48" i="1"/>
  <c r="K48" i="1"/>
  <c r="H48" i="1"/>
  <c r="I48" i="1" s="1"/>
  <c r="H45" i="1"/>
  <c r="H44" i="1"/>
  <c r="H43" i="1"/>
  <c r="H42" i="1"/>
  <c r="I42" i="1" s="1"/>
  <c r="H41" i="1"/>
  <c r="H40" i="1"/>
  <c r="H39" i="1"/>
  <c r="H38" i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B27" i="1"/>
  <c r="N26" i="1"/>
  <c r="P26" i="1" s="1"/>
  <c r="K26" i="1"/>
  <c r="H26" i="1"/>
  <c r="I26" i="1" s="1"/>
  <c r="N25" i="1"/>
  <c r="P25" i="1" s="1"/>
  <c r="K25" i="1"/>
  <c r="H25" i="1"/>
  <c r="I25" i="1" s="1"/>
  <c r="N24" i="1"/>
  <c r="P24" i="1" s="1"/>
  <c r="K24" i="1"/>
  <c r="H24" i="1"/>
  <c r="I24" i="1" s="1"/>
  <c r="N447" i="1"/>
  <c r="O447" i="1" s="1"/>
  <c r="P447" i="1" s="1"/>
  <c r="K447" i="1"/>
  <c r="H447" i="1"/>
  <c r="I447" i="1" s="1"/>
  <c r="N446" i="1"/>
  <c r="O446" i="1" s="1"/>
  <c r="N445" i="1"/>
  <c r="O445" i="1" s="1"/>
  <c r="P445" i="1" s="1"/>
  <c r="K445" i="1"/>
  <c r="H445" i="1"/>
  <c r="I445" i="1" s="1"/>
  <c r="N444" i="1"/>
  <c r="O444" i="1" s="1"/>
  <c r="P444" i="1" s="1"/>
  <c r="K444" i="1"/>
  <c r="H444" i="1"/>
  <c r="I444" i="1" s="1"/>
  <c r="N443" i="1"/>
  <c r="O443" i="1" s="1"/>
  <c r="P443" i="1" s="1"/>
  <c r="N442" i="1"/>
  <c r="O442" i="1" s="1"/>
  <c r="P442" i="1" s="1"/>
  <c r="K442" i="1"/>
  <c r="H442" i="1"/>
  <c r="I442" i="1" s="1"/>
  <c r="N441" i="1"/>
  <c r="O441" i="1" s="1"/>
  <c r="P441" i="1" s="1"/>
  <c r="K441" i="1"/>
  <c r="H441" i="1"/>
  <c r="I441" i="1" s="1"/>
  <c r="N440" i="1"/>
  <c r="O440" i="1" s="1"/>
  <c r="P440" i="1" s="1"/>
  <c r="N439" i="1"/>
  <c r="O439" i="1" s="1"/>
  <c r="P439" i="1" s="1"/>
  <c r="K439" i="1"/>
  <c r="H439" i="1"/>
  <c r="I439" i="1" s="1"/>
  <c r="N438" i="1"/>
  <c r="O438" i="1" s="1"/>
  <c r="P438" i="1" s="1"/>
  <c r="K438" i="1"/>
  <c r="H438" i="1"/>
  <c r="I438" i="1" s="1"/>
  <c r="N437" i="1"/>
  <c r="O437" i="1" s="1"/>
  <c r="P437" i="1" s="1"/>
  <c r="Q437" i="1" s="1"/>
  <c r="N436" i="1"/>
  <c r="O436" i="1" s="1"/>
  <c r="P436" i="1" s="1"/>
  <c r="K436" i="1"/>
  <c r="H436" i="1"/>
  <c r="I436" i="1" s="1"/>
  <c r="N435" i="1"/>
  <c r="O435" i="1" s="1"/>
  <c r="P435" i="1" s="1"/>
  <c r="K435" i="1"/>
  <c r="H435" i="1"/>
  <c r="I435" i="1" s="1"/>
  <c r="N434" i="1"/>
  <c r="O434" i="1" s="1"/>
  <c r="P434" i="1" s="1"/>
  <c r="K434" i="1"/>
  <c r="H434" i="1"/>
  <c r="I434" i="1" s="1"/>
  <c r="N433" i="1"/>
  <c r="O433" i="1" s="1"/>
  <c r="P433" i="1" s="1"/>
  <c r="K433" i="1"/>
  <c r="H433" i="1"/>
  <c r="I433" i="1" s="1"/>
  <c r="N432" i="1"/>
  <c r="O432" i="1" s="1"/>
  <c r="P432" i="1" s="1"/>
  <c r="N431" i="1"/>
  <c r="O431" i="1" s="1"/>
  <c r="P431" i="1" s="1"/>
  <c r="K431" i="1"/>
  <c r="H431" i="1"/>
  <c r="I431" i="1" s="1"/>
  <c r="N430" i="1"/>
  <c r="O430" i="1" s="1"/>
  <c r="P430" i="1" s="1"/>
  <c r="K430" i="1"/>
  <c r="H430" i="1"/>
  <c r="I430" i="1" s="1"/>
  <c r="N429" i="1"/>
  <c r="O429" i="1" s="1"/>
  <c r="P429" i="1" s="1"/>
  <c r="Q429" i="1" s="1"/>
  <c r="N428" i="1"/>
  <c r="O428" i="1" s="1"/>
  <c r="P428" i="1" s="1"/>
  <c r="K428" i="1"/>
  <c r="H428" i="1"/>
  <c r="I428" i="1" s="1"/>
  <c r="N427" i="1"/>
  <c r="O427" i="1" s="1"/>
  <c r="P427" i="1" s="1"/>
  <c r="K427" i="1"/>
  <c r="H427" i="1"/>
  <c r="I427" i="1" s="1"/>
  <c r="N425" i="1"/>
  <c r="O425" i="1" s="1"/>
  <c r="P425" i="1" s="1"/>
  <c r="K425" i="1"/>
  <c r="H425" i="1"/>
  <c r="I425" i="1" s="1"/>
  <c r="N424" i="1"/>
  <c r="O424" i="1" s="1"/>
  <c r="P424" i="1" s="1"/>
  <c r="N423" i="1"/>
  <c r="O423" i="1" s="1"/>
  <c r="P423" i="1" s="1"/>
  <c r="K423" i="1"/>
  <c r="H423" i="1"/>
  <c r="I423" i="1" s="1"/>
  <c r="N422" i="1"/>
  <c r="O422" i="1" s="1"/>
  <c r="P422" i="1" s="1"/>
  <c r="K422" i="1"/>
  <c r="H422" i="1"/>
  <c r="I422" i="1" s="1"/>
  <c r="N421" i="1"/>
  <c r="O421" i="1" s="1"/>
  <c r="N420" i="1"/>
  <c r="O420" i="1" s="1"/>
  <c r="P420" i="1" s="1"/>
  <c r="N419" i="1"/>
  <c r="O419" i="1" s="1"/>
  <c r="P419" i="1" s="1"/>
  <c r="K419" i="1"/>
  <c r="H419" i="1"/>
  <c r="I419" i="1" s="1"/>
  <c r="N418" i="1"/>
  <c r="O418" i="1" s="1"/>
  <c r="P418" i="1" s="1"/>
  <c r="N417" i="1"/>
  <c r="O417" i="1" s="1"/>
  <c r="P417" i="1" s="1"/>
  <c r="K417" i="1"/>
  <c r="H417" i="1"/>
  <c r="I417" i="1" s="1"/>
  <c r="N416" i="1"/>
  <c r="O416" i="1" s="1"/>
  <c r="P416" i="1" s="1"/>
  <c r="K416" i="1"/>
  <c r="H416" i="1"/>
  <c r="I416" i="1" s="1"/>
  <c r="N414" i="1"/>
  <c r="O414" i="1" s="1"/>
  <c r="P414" i="1" s="1"/>
  <c r="K414" i="1"/>
  <c r="H414" i="1"/>
  <c r="I414" i="1" s="1"/>
  <c r="N413" i="1"/>
  <c r="O413" i="1" s="1"/>
  <c r="P413" i="1" s="1"/>
  <c r="N412" i="1"/>
  <c r="O412" i="1" s="1"/>
  <c r="P412" i="1" s="1"/>
  <c r="K412" i="1"/>
  <c r="H412" i="1"/>
  <c r="I412" i="1" s="1"/>
  <c r="N411" i="1"/>
  <c r="O411" i="1" s="1"/>
  <c r="P411" i="1" s="1"/>
  <c r="K411" i="1"/>
  <c r="H411" i="1"/>
  <c r="I411" i="1" s="1"/>
  <c r="N410" i="1"/>
  <c r="O410" i="1" s="1"/>
  <c r="P410" i="1" s="1"/>
  <c r="N409" i="1"/>
  <c r="O409" i="1" s="1"/>
  <c r="P409" i="1" s="1"/>
  <c r="N408" i="1"/>
  <c r="O408" i="1" s="1"/>
  <c r="P408" i="1" s="1"/>
  <c r="K408" i="1"/>
  <c r="H408" i="1"/>
  <c r="I408" i="1" s="1"/>
  <c r="N407" i="1"/>
  <c r="O407" i="1" s="1"/>
  <c r="P407" i="1" s="1"/>
  <c r="K407" i="1"/>
  <c r="H407" i="1"/>
  <c r="I407" i="1" s="1"/>
  <c r="N406" i="1"/>
  <c r="O406" i="1" s="1"/>
  <c r="P406" i="1" s="1"/>
  <c r="N405" i="1"/>
  <c r="O405" i="1" s="1"/>
  <c r="P405" i="1" s="1"/>
  <c r="K405" i="1"/>
  <c r="H405" i="1"/>
  <c r="I405" i="1" s="1"/>
  <c r="N404" i="1"/>
  <c r="O404" i="1" s="1"/>
  <c r="P404" i="1" s="1"/>
  <c r="K404" i="1"/>
  <c r="H404" i="1"/>
  <c r="I404" i="1" s="1"/>
  <c r="Q404" i="1" s="1"/>
  <c r="N403" i="1"/>
  <c r="O403" i="1" s="1"/>
  <c r="P403" i="1" s="1"/>
  <c r="K403" i="1"/>
  <c r="H403" i="1"/>
  <c r="I403" i="1" s="1"/>
  <c r="N402" i="1"/>
  <c r="O402" i="1" s="1"/>
  <c r="P402" i="1" s="1"/>
  <c r="N401" i="1"/>
  <c r="O401" i="1" s="1"/>
  <c r="P401" i="1" s="1"/>
  <c r="N400" i="1"/>
  <c r="O400" i="1" s="1"/>
  <c r="P400" i="1" s="1"/>
  <c r="Q400" i="1" s="1"/>
  <c r="N399" i="1"/>
  <c r="O399" i="1" s="1"/>
  <c r="P399" i="1" s="1"/>
  <c r="N398" i="1"/>
  <c r="O398" i="1" s="1"/>
  <c r="P398" i="1" s="1"/>
  <c r="K398" i="1"/>
  <c r="H398" i="1"/>
  <c r="I398" i="1" s="1"/>
  <c r="N397" i="1"/>
  <c r="O397" i="1" s="1"/>
  <c r="P397" i="1" s="1"/>
  <c r="K397" i="1"/>
  <c r="H397" i="1"/>
  <c r="I397" i="1" s="1"/>
  <c r="N396" i="1"/>
  <c r="O396" i="1" s="1"/>
  <c r="P396" i="1" s="1"/>
  <c r="N395" i="1"/>
  <c r="O395" i="1" s="1"/>
  <c r="P395" i="1" s="1"/>
  <c r="N394" i="1"/>
  <c r="O394" i="1" s="1"/>
  <c r="P394" i="1" s="1"/>
  <c r="N393" i="1"/>
  <c r="O393" i="1" s="1"/>
  <c r="P393" i="1" s="1"/>
  <c r="N392" i="1"/>
  <c r="O392" i="1" s="1"/>
  <c r="P392" i="1" s="1"/>
  <c r="K392" i="1"/>
  <c r="H392" i="1"/>
  <c r="I392" i="1" s="1"/>
  <c r="Q392" i="1" s="1"/>
  <c r="N391" i="1"/>
  <c r="O391" i="1" s="1"/>
  <c r="P391" i="1" s="1"/>
  <c r="K391" i="1"/>
  <c r="H391" i="1"/>
  <c r="I391" i="1" s="1"/>
  <c r="N390" i="1"/>
  <c r="O390" i="1" s="1"/>
  <c r="P390" i="1" s="1"/>
  <c r="K390" i="1"/>
  <c r="H390" i="1"/>
  <c r="I390" i="1" s="1"/>
  <c r="N389" i="1"/>
  <c r="O389" i="1" s="1"/>
  <c r="P389" i="1" s="1"/>
  <c r="H389" i="1"/>
  <c r="I389" i="1" s="1"/>
  <c r="N388" i="1"/>
  <c r="O388" i="1" s="1"/>
  <c r="P388" i="1" s="1"/>
  <c r="H388" i="1"/>
  <c r="I388" i="1" s="1"/>
  <c r="N387" i="1"/>
  <c r="O387" i="1" s="1"/>
  <c r="P387" i="1" s="1"/>
  <c r="H387" i="1"/>
  <c r="I387" i="1" s="1"/>
  <c r="N386" i="1"/>
  <c r="O386" i="1" s="1"/>
  <c r="P386" i="1" s="1"/>
  <c r="H386" i="1"/>
  <c r="I386" i="1" s="1"/>
  <c r="N385" i="1"/>
  <c r="O385" i="1" s="1"/>
  <c r="P385" i="1" s="1"/>
  <c r="H385" i="1"/>
  <c r="I385" i="1" s="1"/>
  <c r="N384" i="1"/>
  <c r="O384" i="1" s="1"/>
  <c r="P384" i="1" s="1"/>
  <c r="K384" i="1"/>
  <c r="H384" i="1"/>
  <c r="I384" i="1" s="1"/>
  <c r="N383" i="1"/>
  <c r="O383" i="1" s="1"/>
  <c r="P383" i="1" s="1"/>
  <c r="K383" i="1"/>
  <c r="H383" i="1"/>
  <c r="I383" i="1" s="1"/>
  <c r="N381" i="1"/>
  <c r="O381" i="1" s="1"/>
  <c r="P381" i="1" s="1"/>
  <c r="K381" i="1"/>
  <c r="H381" i="1"/>
  <c r="I381" i="1" s="1"/>
  <c r="N380" i="1"/>
  <c r="O380" i="1" s="1"/>
  <c r="P380" i="1" s="1"/>
  <c r="N379" i="1"/>
  <c r="O379" i="1" s="1"/>
  <c r="P379" i="1" s="1"/>
  <c r="K379" i="1"/>
  <c r="H379" i="1"/>
  <c r="I379" i="1" s="1"/>
  <c r="N378" i="1"/>
  <c r="O378" i="1" s="1"/>
  <c r="P378" i="1" s="1"/>
  <c r="K378" i="1"/>
  <c r="H378" i="1"/>
  <c r="I378" i="1" s="1"/>
  <c r="N376" i="1"/>
  <c r="O376" i="1" s="1"/>
  <c r="P376" i="1" s="1"/>
  <c r="K376" i="1"/>
  <c r="H376" i="1"/>
  <c r="I376" i="1" s="1"/>
  <c r="N375" i="1"/>
  <c r="O375" i="1" s="1"/>
  <c r="P375" i="1" s="1"/>
  <c r="K375" i="1"/>
  <c r="H375" i="1"/>
  <c r="I375" i="1" s="1"/>
  <c r="N374" i="1"/>
  <c r="O374" i="1" s="1"/>
  <c r="P374" i="1" s="1"/>
  <c r="N373" i="1"/>
  <c r="O373" i="1" s="1"/>
  <c r="P373" i="1" s="1"/>
  <c r="N372" i="1"/>
  <c r="O372" i="1" s="1"/>
  <c r="P372" i="1" s="1"/>
  <c r="Q372" i="1" s="1"/>
  <c r="N371" i="1"/>
  <c r="O371" i="1" s="1"/>
  <c r="P371" i="1" s="1"/>
  <c r="N370" i="1"/>
  <c r="O370" i="1" s="1"/>
  <c r="P370" i="1" s="1"/>
  <c r="N369" i="1"/>
  <c r="O369" i="1" s="1"/>
  <c r="P369" i="1" s="1"/>
  <c r="K369" i="1"/>
  <c r="H369" i="1"/>
  <c r="I369" i="1" s="1"/>
  <c r="N368" i="1"/>
  <c r="O368" i="1" s="1"/>
  <c r="P368" i="1" s="1"/>
  <c r="K368" i="1"/>
  <c r="H368" i="1"/>
  <c r="I368" i="1" s="1"/>
  <c r="N366" i="1"/>
  <c r="O366" i="1" s="1"/>
  <c r="P366" i="1" s="1"/>
  <c r="K366" i="1"/>
  <c r="H366" i="1"/>
  <c r="I366" i="1" s="1"/>
  <c r="N365" i="1"/>
  <c r="O365" i="1" s="1"/>
  <c r="P365" i="1" s="1"/>
  <c r="N364" i="1"/>
  <c r="O364" i="1" s="1"/>
  <c r="P364" i="1" s="1"/>
  <c r="K364" i="1"/>
  <c r="H364" i="1"/>
  <c r="I364" i="1" s="1"/>
  <c r="N363" i="1"/>
  <c r="O363" i="1" s="1"/>
  <c r="P363" i="1" s="1"/>
  <c r="K363" i="1"/>
  <c r="H363" i="1"/>
  <c r="I363" i="1" s="1"/>
  <c r="N362" i="1"/>
  <c r="O362" i="1" s="1"/>
  <c r="P362" i="1" s="1"/>
  <c r="Q362" i="1" s="1"/>
  <c r="N361" i="1"/>
  <c r="O361" i="1" s="1"/>
  <c r="P361" i="1" s="1"/>
  <c r="K361" i="1"/>
  <c r="H361" i="1"/>
  <c r="I361" i="1" s="1"/>
  <c r="N360" i="1"/>
  <c r="O360" i="1" s="1"/>
  <c r="P360" i="1" s="1"/>
  <c r="K360" i="1"/>
  <c r="H360" i="1"/>
  <c r="I360" i="1" s="1"/>
  <c r="N359" i="1"/>
  <c r="O359" i="1" s="1"/>
  <c r="P359" i="1" s="1"/>
  <c r="N358" i="1"/>
  <c r="O358" i="1" s="1"/>
  <c r="P358" i="1" s="1"/>
  <c r="K358" i="1"/>
  <c r="H358" i="1"/>
  <c r="I358" i="1" s="1"/>
  <c r="N357" i="1"/>
  <c r="O357" i="1" s="1"/>
  <c r="P357" i="1" s="1"/>
  <c r="K357" i="1"/>
  <c r="H357" i="1"/>
  <c r="I357" i="1" s="1"/>
  <c r="N355" i="1"/>
  <c r="O355" i="1" s="1"/>
  <c r="P355" i="1" s="1"/>
  <c r="K355" i="1"/>
  <c r="H355" i="1"/>
  <c r="I355" i="1" s="1"/>
  <c r="N354" i="1"/>
  <c r="O354" i="1" s="1"/>
  <c r="N353" i="1"/>
  <c r="O353" i="1" s="1"/>
  <c r="N352" i="1"/>
  <c r="O352" i="1" s="1"/>
  <c r="N351" i="1"/>
  <c r="O351" i="1" s="1"/>
  <c r="P351" i="1" s="1"/>
  <c r="K351" i="1"/>
  <c r="H351" i="1"/>
  <c r="I351" i="1" s="1"/>
  <c r="N350" i="1"/>
  <c r="O350" i="1" s="1"/>
  <c r="P350" i="1" s="1"/>
  <c r="K350" i="1"/>
  <c r="H350" i="1"/>
  <c r="I350" i="1" s="1"/>
  <c r="N343" i="1"/>
  <c r="O343" i="1" s="1"/>
  <c r="P343" i="1" s="1"/>
  <c r="K343" i="1"/>
  <c r="H343" i="1"/>
  <c r="I343" i="1" s="1"/>
  <c r="O336" i="1"/>
  <c r="P336" i="1" s="1"/>
  <c r="N336" i="1"/>
  <c r="K336" i="1"/>
  <c r="H336" i="1"/>
  <c r="I336" i="1" s="1"/>
  <c r="N329" i="1"/>
  <c r="O329" i="1" s="1"/>
  <c r="P329" i="1" s="1"/>
  <c r="K329" i="1"/>
  <c r="H329" i="1"/>
  <c r="I329" i="1" s="1"/>
  <c r="N328" i="1"/>
  <c r="O328" i="1" s="1"/>
  <c r="P328" i="1" s="1"/>
  <c r="K328" i="1"/>
  <c r="H328" i="1"/>
  <c r="I328" i="1" s="1"/>
  <c r="N321" i="1"/>
  <c r="O321" i="1" s="1"/>
  <c r="P321" i="1" s="1"/>
  <c r="K321" i="1"/>
  <c r="H321" i="1"/>
  <c r="I321" i="1" s="1"/>
  <c r="N314" i="1"/>
  <c r="O314" i="1" s="1"/>
  <c r="P314" i="1" s="1"/>
  <c r="K314" i="1"/>
  <c r="H314" i="1"/>
  <c r="I314" i="1" s="1"/>
  <c r="N313" i="1"/>
  <c r="O313" i="1" s="1"/>
  <c r="H313" i="1"/>
  <c r="N312" i="1"/>
  <c r="O312" i="1" s="1"/>
  <c r="H312" i="1"/>
  <c r="N311" i="1"/>
  <c r="O311" i="1" s="1"/>
  <c r="H311" i="1"/>
  <c r="N310" i="1"/>
  <c r="O310" i="1" s="1"/>
  <c r="H310" i="1"/>
  <c r="N309" i="1"/>
  <c r="O309" i="1" s="1"/>
  <c r="H309" i="1"/>
  <c r="N308" i="1"/>
  <c r="O308" i="1" s="1"/>
  <c r="H308" i="1"/>
  <c r="N307" i="1"/>
  <c r="O307" i="1" s="1"/>
  <c r="P307" i="1" s="1"/>
  <c r="K307" i="1"/>
  <c r="H307" i="1"/>
  <c r="I307" i="1" s="1"/>
  <c r="N306" i="1"/>
  <c r="O306" i="1" s="1"/>
  <c r="P306" i="1" s="1"/>
  <c r="K306" i="1"/>
  <c r="H306" i="1"/>
  <c r="I306" i="1" s="1"/>
  <c r="N305" i="1"/>
  <c r="O305" i="1" s="1"/>
  <c r="P305" i="1" s="1"/>
  <c r="K305" i="1"/>
  <c r="H305" i="1"/>
  <c r="I305" i="1" s="1"/>
  <c r="N304" i="1"/>
  <c r="O304" i="1" s="1"/>
  <c r="P304" i="1" s="1"/>
  <c r="K304" i="1"/>
  <c r="H304" i="1"/>
  <c r="I304" i="1" s="1"/>
  <c r="N303" i="1"/>
  <c r="O303" i="1" s="1"/>
  <c r="P303" i="1" s="1"/>
  <c r="N302" i="1"/>
  <c r="O302" i="1" s="1"/>
  <c r="P302" i="1" s="1"/>
  <c r="N301" i="1"/>
  <c r="O301" i="1" s="1"/>
  <c r="P301" i="1" s="1"/>
  <c r="K301" i="1"/>
  <c r="H301" i="1"/>
  <c r="I301" i="1" s="1"/>
  <c r="N300" i="1"/>
  <c r="O300" i="1" s="1"/>
  <c r="P300" i="1" s="1"/>
  <c r="K300" i="1"/>
  <c r="H300" i="1"/>
  <c r="I300" i="1" s="1"/>
  <c r="N299" i="1"/>
  <c r="O299" i="1" s="1"/>
  <c r="P299" i="1" s="1"/>
  <c r="N298" i="1"/>
  <c r="O298" i="1" s="1"/>
  <c r="P298" i="1" s="1"/>
  <c r="N297" i="1"/>
  <c r="O297" i="1" s="1"/>
  <c r="P297" i="1" s="1"/>
  <c r="K297" i="1"/>
  <c r="H297" i="1"/>
  <c r="I297" i="1" s="1"/>
  <c r="N296" i="1"/>
  <c r="O296" i="1" s="1"/>
  <c r="P296" i="1" s="1"/>
  <c r="K296" i="1"/>
  <c r="H296" i="1"/>
  <c r="I296" i="1" s="1"/>
  <c r="N294" i="1"/>
  <c r="O294" i="1" s="1"/>
  <c r="P294" i="1" s="1"/>
  <c r="K294" i="1"/>
  <c r="H294" i="1"/>
  <c r="I294" i="1" s="1"/>
  <c r="N293" i="1"/>
  <c r="O293" i="1" s="1"/>
  <c r="P293" i="1" s="1"/>
  <c r="N292" i="1"/>
  <c r="O292" i="1" s="1"/>
  <c r="P292" i="1" s="1"/>
  <c r="N291" i="1"/>
  <c r="O291" i="1" s="1"/>
  <c r="P291" i="1" s="1"/>
  <c r="N290" i="1"/>
  <c r="O290" i="1" s="1"/>
  <c r="P290" i="1" s="1"/>
  <c r="N289" i="1"/>
  <c r="O289" i="1" s="1"/>
  <c r="P289" i="1" s="1"/>
  <c r="N288" i="1"/>
  <c r="O288" i="1" s="1"/>
  <c r="P288" i="1" s="1"/>
  <c r="O287" i="1"/>
  <c r="P287" i="1" s="1"/>
  <c r="O286" i="1"/>
  <c r="P286" i="1" s="1"/>
  <c r="O285" i="1"/>
  <c r="P285" i="1" s="1"/>
  <c r="N284" i="1"/>
  <c r="O284" i="1" s="1"/>
  <c r="P284" i="1" s="1"/>
  <c r="N283" i="1"/>
  <c r="O283" i="1" s="1"/>
  <c r="P283" i="1" s="1"/>
  <c r="K283" i="1"/>
  <c r="H283" i="1"/>
  <c r="I283" i="1" s="1"/>
  <c r="N282" i="1"/>
  <c r="O282" i="1" s="1"/>
  <c r="P282" i="1" s="1"/>
  <c r="K282" i="1"/>
  <c r="H282" i="1"/>
  <c r="I282" i="1" s="1"/>
  <c r="N281" i="1"/>
  <c r="O281" i="1" s="1"/>
  <c r="P281" i="1" s="1"/>
  <c r="N280" i="1"/>
  <c r="O280" i="1" s="1"/>
  <c r="P280" i="1" s="1"/>
  <c r="K280" i="1"/>
  <c r="H280" i="1"/>
  <c r="I280" i="1" s="1"/>
  <c r="N279" i="1"/>
  <c r="O279" i="1" s="1"/>
  <c r="P279" i="1" s="1"/>
  <c r="K279" i="1"/>
  <c r="H279" i="1"/>
  <c r="I279" i="1" s="1"/>
  <c r="N278" i="1"/>
  <c r="O278" i="1" s="1"/>
  <c r="P278" i="1" s="1"/>
  <c r="N277" i="1"/>
  <c r="O277" i="1" s="1"/>
  <c r="P277" i="1" s="1"/>
  <c r="N276" i="1"/>
  <c r="O276" i="1" s="1"/>
  <c r="P276" i="1" s="1"/>
  <c r="N275" i="1"/>
  <c r="O275" i="1" s="1"/>
  <c r="P275" i="1" s="1"/>
  <c r="K275" i="1"/>
  <c r="H275" i="1"/>
  <c r="I275" i="1" s="1"/>
  <c r="N274" i="1"/>
  <c r="O274" i="1" s="1"/>
  <c r="P274" i="1" s="1"/>
  <c r="K274" i="1"/>
  <c r="H274" i="1"/>
  <c r="I274" i="1" s="1"/>
  <c r="N273" i="1"/>
  <c r="O273" i="1" s="1"/>
  <c r="P273" i="1" s="1"/>
  <c r="N272" i="1"/>
  <c r="O272" i="1" s="1"/>
  <c r="P272" i="1" s="1"/>
  <c r="K272" i="1"/>
  <c r="H272" i="1"/>
  <c r="I272" i="1" s="1"/>
  <c r="N271" i="1"/>
  <c r="O271" i="1" s="1"/>
  <c r="P271" i="1" s="1"/>
  <c r="K271" i="1"/>
  <c r="H271" i="1"/>
  <c r="I271" i="1" s="1"/>
  <c r="N270" i="1"/>
  <c r="O270" i="1" s="1"/>
  <c r="P270" i="1" s="1"/>
  <c r="K270" i="1"/>
  <c r="H270" i="1"/>
  <c r="I270" i="1" s="1"/>
  <c r="N269" i="1"/>
  <c r="O269" i="1" s="1"/>
  <c r="P269" i="1" s="1"/>
  <c r="N268" i="1"/>
  <c r="O268" i="1" s="1"/>
  <c r="P268" i="1" s="1"/>
  <c r="N267" i="1"/>
  <c r="O267" i="1" s="1"/>
  <c r="P267" i="1" s="1"/>
  <c r="K267" i="1"/>
  <c r="H267" i="1"/>
  <c r="I267" i="1" s="1"/>
  <c r="N266" i="1"/>
  <c r="O266" i="1" s="1"/>
  <c r="P266" i="1" s="1"/>
  <c r="K266" i="1"/>
  <c r="H266" i="1"/>
  <c r="I266" i="1" s="1"/>
  <c r="N265" i="1"/>
  <c r="O265" i="1" s="1"/>
  <c r="P265" i="1" s="1"/>
  <c r="N264" i="1"/>
  <c r="O264" i="1" s="1"/>
  <c r="P264" i="1" s="1"/>
  <c r="N263" i="1"/>
  <c r="O263" i="1" s="1"/>
  <c r="P263" i="1" s="1"/>
  <c r="N262" i="1"/>
  <c r="O262" i="1" s="1"/>
  <c r="P262" i="1" s="1"/>
  <c r="N261" i="1"/>
  <c r="O261" i="1" s="1"/>
  <c r="P261" i="1" s="1"/>
  <c r="K261" i="1"/>
  <c r="H261" i="1"/>
  <c r="I261" i="1" s="1"/>
  <c r="N260" i="1"/>
  <c r="O260" i="1" s="1"/>
  <c r="P260" i="1" s="1"/>
  <c r="K260" i="1"/>
  <c r="H260" i="1"/>
  <c r="I260" i="1" s="1"/>
  <c r="N259" i="1"/>
  <c r="O259" i="1" s="1"/>
  <c r="P259" i="1" s="1"/>
  <c r="K259" i="1"/>
  <c r="H259" i="1"/>
  <c r="I259" i="1" s="1"/>
  <c r="N258" i="1"/>
  <c r="O258" i="1" s="1"/>
  <c r="P258" i="1" s="1"/>
  <c r="K258" i="1"/>
  <c r="H258" i="1"/>
  <c r="I258" i="1" s="1"/>
  <c r="N256" i="1"/>
  <c r="O256" i="1" s="1"/>
  <c r="P256" i="1" s="1"/>
  <c r="K256" i="1"/>
  <c r="H256" i="1"/>
  <c r="I256" i="1" s="1"/>
  <c r="N255" i="1"/>
  <c r="O255" i="1" s="1"/>
  <c r="P255" i="1" s="1"/>
  <c r="N254" i="1"/>
  <c r="O254" i="1" s="1"/>
  <c r="P254" i="1" s="1"/>
  <c r="N253" i="1"/>
  <c r="O253" i="1" s="1"/>
  <c r="P253" i="1" s="1"/>
  <c r="K253" i="1"/>
  <c r="H253" i="1"/>
  <c r="I253" i="1" s="1"/>
  <c r="N252" i="1"/>
  <c r="O252" i="1" s="1"/>
  <c r="P252" i="1" s="1"/>
  <c r="K252" i="1"/>
  <c r="H252" i="1"/>
  <c r="I252" i="1" s="1"/>
  <c r="N251" i="1"/>
  <c r="O251" i="1" s="1"/>
  <c r="P251" i="1" s="1"/>
  <c r="N250" i="1"/>
  <c r="O250" i="1" s="1"/>
  <c r="P250" i="1" s="1"/>
  <c r="K250" i="1"/>
  <c r="H250" i="1"/>
  <c r="I250" i="1" s="1"/>
  <c r="N249" i="1"/>
  <c r="O249" i="1" s="1"/>
  <c r="P249" i="1" s="1"/>
  <c r="K249" i="1"/>
  <c r="H249" i="1"/>
  <c r="I249" i="1" s="1"/>
  <c r="N248" i="1"/>
  <c r="O248" i="1" s="1"/>
  <c r="P248" i="1" s="1"/>
  <c r="K248" i="1"/>
  <c r="H248" i="1"/>
  <c r="I248" i="1" s="1"/>
  <c r="N247" i="1"/>
  <c r="O247" i="1" s="1"/>
  <c r="P247" i="1" s="1"/>
  <c r="K247" i="1"/>
  <c r="H247" i="1"/>
  <c r="I247" i="1" s="1"/>
  <c r="Q247" i="1" s="1"/>
  <c r="N246" i="1"/>
  <c r="O246" i="1" s="1"/>
  <c r="P246" i="1" s="1"/>
  <c r="N245" i="1"/>
  <c r="O245" i="1" s="1"/>
  <c r="P245" i="1" s="1"/>
  <c r="N244" i="1"/>
  <c r="O244" i="1" s="1"/>
  <c r="N243" i="1"/>
  <c r="O243" i="1" s="1"/>
  <c r="N242" i="1"/>
  <c r="O242" i="1" s="1"/>
  <c r="N241" i="1"/>
  <c r="O241" i="1" s="1"/>
  <c r="P241" i="1" s="1"/>
  <c r="K241" i="1"/>
  <c r="H241" i="1"/>
  <c r="I241" i="1" s="1"/>
  <c r="N240" i="1"/>
  <c r="O240" i="1" s="1"/>
  <c r="P240" i="1" s="1"/>
  <c r="K240" i="1"/>
  <c r="H240" i="1"/>
  <c r="I240" i="1" s="1"/>
  <c r="N239" i="1"/>
  <c r="O239" i="1" s="1"/>
  <c r="H239" i="1"/>
  <c r="N238" i="1"/>
  <c r="O238" i="1" s="1"/>
  <c r="P238" i="1" s="1"/>
  <c r="K238" i="1"/>
  <c r="H238" i="1"/>
  <c r="I238" i="1" s="1"/>
  <c r="N237" i="1"/>
  <c r="O237" i="1" s="1"/>
  <c r="P237" i="1" s="1"/>
  <c r="K237" i="1"/>
  <c r="H237" i="1"/>
  <c r="I237" i="1" s="1"/>
  <c r="N236" i="1"/>
  <c r="O236" i="1" s="1"/>
  <c r="N235" i="1"/>
  <c r="O235" i="1" s="1"/>
  <c r="P235" i="1" s="1"/>
  <c r="K235" i="1"/>
  <c r="H235" i="1"/>
  <c r="I235" i="1" s="1"/>
  <c r="N234" i="1"/>
  <c r="O234" i="1" s="1"/>
  <c r="P234" i="1" s="1"/>
  <c r="K234" i="1"/>
  <c r="H234" i="1"/>
  <c r="I234" i="1" s="1"/>
  <c r="N233" i="1"/>
  <c r="O233" i="1" s="1"/>
  <c r="P233" i="1" s="1"/>
  <c r="N232" i="1"/>
  <c r="O232" i="1" s="1"/>
  <c r="N231" i="1"/>
  <c r="O231" i="1" s="1"/>
  <c r="P231" i="1" s="1"/>
  <c r="K231" i="1"/>
  <c r="H231" i="1"/>
  <c r="I231" i="1" s="1"/>
  <c r="N230" i="1"/>
  <c r="O230" i="1" s="1"/>
  <c r="P230" i="1" s="1"/>
  <c r="K230" i="1"/>
  <c r="H230" i="1"/>
  <c r="I230" i="1" s="1"/>
  <c r="N228" i="1"/>
  <c r="O228" i="1" s="1"/>
  <c r="N227" i="1"/>
  <c r="O227" i="1" s="1"/>
  <c r="P227" i="1" s="1"/>
  <c r="N226" i="1"/>
  <c r="O226" i="1" s="1"/>
  <c r="P226" i="1" s="1"/>
  <c r="K226" i="1"/>
  <c r="H226" i="1"/>
  <c r="I226" i="1" s="1"/>
  <c r="N225" i="1"/>
  <c r="O225" i="1" s="1"/>
  <c r="P225" i="1" s="1"/>
  <c r="K225" i="1"/>
  <c r="H225" i="1"/>
  <c r="I225" i="1" s="1"/>
  <c r="N224" i="1"/>
  <c r="O224" i="1" s="1"/>
  <c r="N223" i="1"/>
  <c r="O223" i="1" s="1"/>
  <c r="P223" i="1" s="1"/>
  <c r="N222" i="1"/>
  <c r="O222" i="1" s="1"/>
  <c r="P222" i="1" s="1"/>
  <c r="K222" i="1"/>
  <c r="H222" i="1"/>
  <c r="I222" i="1" s="1"/>
  <c r="N221" i="1"/>
  <c r="O221" i="1" s="1"/>
  <c r="P221" i="1" s="1"/>
  <c r="K221" i="1"/>
  <c r="H221" i="1"/>
  <c r="I221" i="1" s="1"/>
  <c r="N220" i="1"/>
  <c r="O220" i="1" s="1"/>
  <c r="N219" i="1"/>
  <c r="O219" i="1" s="1"/>
  <c r="N218" i="1"/>
  <c r="O218" i="1" s="1"/>
  <c r="P218" i="1" s="1"/>
  <c r="K218" i="1"/>
  <c r="H218" i="1"/>
  <c r="I218" i="1" s="1"/>
  <c r="N217" i="1"/>
  <c r="O217" i="1" s="1"/>
  <c r="P217" i="1" s="1"/>
  <c r="K217" i="1"/>
  <c r="H217" i="1"/>
  <c r="I217" i="1" s="1"/>
  <c r="N216" i="1"/>
  <c r="O216" i="1" s="1"/>
  <c r="N215" i="1"/>
  <c r="O215" i="1" s="1"/>
  <c r="N214" i="1"/>
  <c r="O214" i="1" s="1"/>
  <c r="P214" i="1" s="1"/>
  <c r="K214" i="1"/>
  <c r="H214" i="1"/>
  <c r="I214" i="1" s="1"/>
  <c r="N213" i="1"/>
  <c r="O213" i="1" s="1"/>
  <c r="P213" i="1" s="1"/>
  <c r="K213" i="1"/>
  <c r="H213" i="1"/>
  <c r="I213" i="1" s="1"/>
  <c r="N212" i="1"/>
  <c r="O212" i="1" s="1"/>
  <c r="N211" i="1"/>
  <c r="O211" i="1" s="1"/>
  <c r="P211" i="1" s="1"/>
  <c r="N210" i="1"/>
  <c r="O210" i="1" s="1"/>
  <c r="P210" i="1" s="1"/>
  <c r="K210" i="1"/>
  <c r="H210" i="1"/>
  <c r="I210" i="1" s="1"/>
  <c r="N209" i="1"/>
  <c r="O209" i="1" s="1"/>
  <c r="P209" i="1" s="1"/>
  <c r="K209" i="1"/>
  <c r="H209" i="1"/>
  <c r="I209" i="1" s="1"/>
  <c r="N208" i="1"/>
  <c r="O208" i="1" s="1"/>
  <c r="N207" i="1"/>
  <c r="O207" i="1" s="1"/>
  <c r="P207" i="1" s="1"/>
  <c r="N206" i="1"/>
  <c r="O206" i="1" s="1"/>
  <c r="P206" i="1" s="1"/>
  <c r="K206" i="1"/>
  <c r="H206" i="1"/>
  <c r="I206" i="1" s="1"/>
  <c r="N205" i="1"/>
  <c r="O205" i="1" s="1"/>
  <c r="P205" i="1" s="1"/>
  <c r="K205" i="1"/>
  <c r="H205" i="1"/>
  <c r="I205" i="1" s="1"/>
  <c r="N204" i="1"/>
  <c r="O204" i="1" s="1"/>
  <c r="N203" i="1"/>
  <c r="O203" i="1" s="1"/>
  <c r="P203" i="1" s="1"/>
  <c r="K203" i="1"/>
  <c r="H203" i="1"/>
  <c r="I203" i="1" s="1"/>
  <c r="N202" i="1"/>
  <c r="O202" i="1" s="1"/>
  <c r="P202" i="1" s="1"/>
  <c r="K202" i="1"/>
  <c r="H202" i="1"/>
  <c r="I202" i="1" s="1"/>
  <c r="N200" i="1"/>
  <c r="O200" i="1" s="1"/>
  <c r="P200" i="1" s="1"/>
  <c r="K200" i="1"/>
  <c r="H200" i="1"/>
  <c r="I200" i="1" s="1"/>
  <c r="N199" i="1"/>
  <c r="O199" i="1" s="1"/>
  <c r="P199" i="1" s="1"/>
  <c r="Q199" i="1" s="1"/>
  <c r="N198" i="1"/>
  <c r="O198" i="1" s="1"/>
  <c r="P198" i="1" s="1"/>
  <c r="K198" i="1"/>
  <c r="H198" i="1"/>
  <c r="I198" i="1" s="1"/>
  <c r="N197" i="1"/>
  <c r="O197" i="1" s="1"/>
  <c r="P197" i="1" s="1"/>
  <c r="N196" i="1"/>
  <c r="O196" i="1" s="1"/>
  <c r="P196" i="1" s="1"/>
  <c r="N195" i="1"/>
  <c r="O195" i="1" s="1"/>
  <c r="P195" i="1" s="1"/>
  <c r="K195" i="1"/>
  <c r="H195" i="1"/>
  <c r="I195" i="1" s="1"/>
  <c r="N194" i="1"/>
  <c r="O194" i="1" s="1"/>
  <c r="P194" i="1" s="1"/>
  <c r="K194" i="1"/>
  <c r="H194" i="1"/>
  <c r="I194" i="1" s="1"/>
  <c r="N193" i="1"/>
  <c r="O193" i="1" s="1"/>
  <c r="P193" i="1" s="1"/>
  <c r="N192" i="1"/>
  <c r="O192" i="1" s="1"/>
  <c r="P192" i="1" s="1"/>
  <c r="K192" i="1"/>
  <c r="H192" i="1"/>
  <c r="I192" i="1" s="1"/>
  <c r="N191" i="1"/>
  <c r="O191" i="1" s="1"/>
  <c r="P191" i="1" s="1"/>
  <c r="K191" i="1"/>
  <c r="H191" i="1"/>
  <c r="I191" i="1" s="1"/>
  <c r="N190" i="1"/>
  <c r="O190" i="1" s="1"/>
  <c r="P190" i="1" s="1"/>
  <c r="N189" i="1"/>
  <c r="O189" i="1" s="1"/>
  <c r="P189" i="1" s="1"/>
  <c r="K189" i="1"/>
  <c r="H189" i="1"/>
  <c r="I189" i="1" s="1"/>
  <c r="N188" i="1"/>
  <c r="O188" i="1" s="1"/>
  <c r="P188" i="1" s="1"/>
  <c r="K188" i="1"/>
  <c r="H188" i="1"/>
  <c r="I188" i="1" s="1"/>
  <c r="N187" i="1"/>
  <c r="O187" i="1" s="1"/>
  <c r="P187" i="1" s="1"/>
  <c r="K187" i="1"/>
  <c r="H187" i="1"/>
  <c r="I187" i="1" s="1"/>
  <c r="N186" i="1"/>
  <c r="O186" i="1" s="1"/>
  <c r="P186" i="1" s="1"/>
  <c r="K186" i="1"/>
  <c r="H186" i="1"/>
  <c r="I186" i="1" s="1"/>
  <c r="N185" i="1"/>
  <c r="O185" i="1" s="1"/>
  <c r="P185" i="1" s="1"/>
  <c r="N184" i="1"/>
  <c r="O184" i="1" s="1"/>
  <c r="P184" i="1" s="1"/>
  <c r="K184" i="1"/>
  <c r="H184" i="1"/>
  <c r="I184" i="1" s="1"/>
  <c r="N183" i="1"/>
  <c r="O183" i="1" s="1"/>
  <c r="P183" i="1" s="1"/>
  <c r="K183" i="1"/>
  <c r="H183" i="1"/>
  <c r="I183" i="1" s="1"/>
  <c r="N182" i="1"/>
  <c r="O182" i="1" s="1"/>
  <c r="P182" i="1" s="1"/>
  <c r="N180" i="1"/>
  <c r="O180" i="1" s="1"/>
  <c r="P180" i="1" s="1"/>
  <c r="K180" i="1"/>
  <c r="H180" i="1"/>
  <c r="I180" i="1" s="1"/>
  <c r="N179" i="1"/>
  <c r="O179" i="1" s="1"/>
  <c r="P179" i="1" s="1"/>
  <c r="K179" i="1"/>
  <c r="H179" i="1"/>
  <c r="I179" i="1" s="1"/>
  <c r="N178" i="1"/>
  <c r="O178" i="1" s="1"/>
  <c r="N177" i="1"/>
  <c r="O177" i="1" s="1"/>
  <c r="N176" i="1"/>
  <c r="O176" i="1" s="1"/>
  <c r="N175" i="1"/>
  <c r="O175" i="1" s="1"/>
  <c r="P175" i="1" s="1"/>
  <c r="N174" i="1"/>
  <c r="O174" i="1" s="1"/>
  <c r="P174" i="1" s="1"/>
  <c r="N173" i="1"/>
  <c r="O173" i="1" s="1"/>
  <c r="N172" i="1"/>
  <c r="O172" i="1" s="1"/>
  <c r="N171" i="1"/>
  <c r="O171" i="1" s="1"/>
  <c r="P171" i="1" s="1"/>
  <c r="K171" i="1"/>
  <c r="H171" i="1"/>
  <c r="I171" i="1" s="1"/>
  <c r="N170" i="1"/>
  <c r="O170" i="1" s="1"/>
  <c r="P170" i="1" s="1"/>
  <c r="K170" i="1"/>
  <c r="H170" i="1"/>
  <c r="I170" i="1" s="1"/>
  <c r="N169" i="1"/>
  <c r="O169" i="1" s="1"/>
  <c r="P169" i="1" s="1"/>
  <c r="Q169" i="1" s="1"/>
  <c r="N168" i="1"/>
  <c r="O168" i="1" s="1"/>
  <c r="P168" i="1" s="1"/>
  <c r="K168" i="1"/>
  <c r="H168" i="1"/>
  <c r="I168" i="1" s="1"/>
  <c r="N167" i="1"/>
  <c r="O167" i="1" s="1"/>
  <c r="P167" i="1" s="1"/>
  <c r="K167" i="1"/>
  <c r="H167" i="1"/>
  <c r="I167" i="1" s="1"/>
  <c r="N166" i="1"/>
  <c r="O166" i="1" s="1"/>
  <c r="N165" i="1"/>
  <c r="O165" i="1" s="1"/>
  <c r="P165" i="1" s="1"/>
  <c r="K165" i="1"/>
  <c r="H165" i="1"/>
  <c r="I165" i="1" s="1"/>
  <c r="N164" i="1"/>
  <c r="O164" i="1" s="1"/>
  <c r="P164" i="1" s="1"/>
  <c r="K164" i="1"/>
  <c r="H164" i="1"/>
  <c r="I164" i="1" s="1"/>
  <c r="N163" i="1"/>
  <c r="O163" i="1" s="1"/>
  <c r="P163" i="1" s="1"/>
  <c r="N162" i="1"/>
  <c r="O162" i="1" s="1"/>
  <c r="N161" i="1"/>
  <c r="O161" i="1" s="1"/>
  <c r="N160" i="1"/>
  <c r="O160" i="1" s="1"/>
  <c r="P160" i="1" s="1"/>
  <c r="K160" i="1"/>
  <c r="H160" i="1"/>
  <c r="I160" i="1" s="1"/>
  <c r="N159" i="1"/>
  <c r="O159" i="1" s="1"/>
  <c r="P159" i="1" s="1"/>
  <c r="K159" i="1"/>
  <c r="H159" i="1"/>
  <c r="I159" i="1" s="1"/>
  <c r="N158" i="1"/>
  <c r="O158" i="1" s="1"/>
  <c r="P158" i="1" s="1"/>
  <c r="N157" i="1"/>
  <c r="O157" i="1" s="1"/>
  <c r="P157" i="1" s="1"/>
  <c r="K157" i="1"/>
  <c r="H157" i="1"/>
  <c r="I157" i="1" s="1"/>
  <c r="N156" i="1"/>
  <c r="O156" i="1" s="1"/>
  <c r="P156" i="1" s="1"/>
  <c r="K156" i="1"/>
  <c r="H156" i="1"/>
  <c r="I156" i="1" s="1"/>
  <c r="N155" i="1"/>
  <c r="O155" i="1" s="1"/>
  <c r="N154" i="1"/>
  <c r="O154" i="1" s="1"/>
  <c r="P154" i="1" s="1"/>
  <c r="N153" i="1"/>
  <c r="O153" i="1" s="1"/>
  <c r="N152" i="1"/>
  <c r="O152" i="1" s="1"/>
  <c r="P152" i="1" s="1"/>
  <c r="N151" i="1"/>
  <c r="O151" i="1" s="1"/>
  <c r="P151" i="1" s="1"/>
  <c r="N150" i="1"/>
  <c r="O150" i="1" s="1"/>
  <c r="P150" i="1" s="1"/>
  <c r="N149" i="1"/>
  <c r="O149" i="1" s="1"/>
  <c r="P149" i="1" s="1"/>
  <c r="N148" i="1"/>
  <c r="O148" i="1" s="1"/>
  <c r="P148" i="1" s="1"/>
  <c r="N147" i="1"/>
  <c r="O147" i="1" s="1"/>
  <c r="P147" i="1" s="1"/>
  <c r="N146" i="1"/>
  <c r="O146" i="1" s="1"/>
  <c r="P146" i="1" s="1"/>
  <c r="N145" i="1"/>
  <c r="O145" i="1" s="1"/>
  <c r="P145" i="1" s="1"/>
  <c r="N144" i="1"/>
  <c r="O144" i="1" s="1"/>
  <c r="P144" i="1" s="1"/>
  <c r="N143" i="1"/>
  <c r="O143" i="1" s="1"/>
  <c r="P143" i="1" s="1"/>
  <c r="K143" i="1"/>
  <c r="H143" i="1"/>
  <c r="I143" i="1" s="1"/>
  <c r="N142" i="1"/>
  <c r="O142" i="1" s="1"/>
  <c r="P142" i="1" s="1"/>
  <c r="K142" i="1"/>
  <c r="H142" i="1"/>
  <c r="I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O133" i="1" s="1"/>
  <c r="P133" i="1" s="1"/>
  <c r="K133" i="1"/>
  <c r="H133" i="1"/>
  <c r="I133" i="1" s="1"/>
  <c r="N132" i="1"/>
  <c r="O132" i="1" s="1"/>
  <c r="P132" i="1" s="1"/>
  <c r="K132" i="1"/>
  <c r="H132" i="1"/>
  <c r="I132" i="1" s="1"/>
  <c r="N131" i="1"/>
  <c r="O131" i="1" s="1"/>
  <c r="P131" i="1" s="1"/>
  <c r="N130" i="1"/>
  <c r="O130" i="1" s="1"/>
  <c r="P130" i="1" s="1"/>
  <c r="K130" i="1"/>
  <c r="H130" i="1"/>
  <c r="I130" i="1" s="1"/>
  <c r="N129" i="1"/>
  <c r="O129" i="1" s="1"/>
  <c r="P129" i="1" s="1"/>
  <c r="K129" i="1"/>
  <c r="H129" i="1"/>
  <c r="I129" i="1" s="1"/>
  <c r="N128" i="1"/>
  <c r="O128" i="1" s="1"/>
  <c r="P128" i="1" s="1"/>
  <c r="Q128" i="1" s="1"/>
  <c r="N127" i="1"/>
  <c r="O127" i="1" s="1"/>
  <c r="N126" i="1"/>
  <c r="O126" i="1" s="1"/>
  <c r="P126" i="1" s="1"/>
  <c r="K126" i="1"/>
  <c r="H126" i="1"/>
  <c r="I126" i="1" s="1"/>
  <c r="N125" i="1"/>
  <c r="O125" i="1" s="1"/>
  <c r="P125" i="1" s="1"/>
  <c r="K125" i="1"/>
  <c r="H125" i="1"/>
  <c r="I125" i="1" s="1"/>
  <c r="N124" i="1"/>
  <c r="O124" i="1" s="1"/>
  <c r="P124" i="1" s="1"/>
  <c r="N123" i="1"/>
  <c r="O123" i="1" s="1"/>
  <c r="P123" i="1" s="1"/>
  <c r="K123" i="1"/>
  <c r="H123" i="1"/>
  <c r="I123" i="1" s="1"/>
  <c r="N122" i="1"/>
  <c r="O122" i="1" s="1"/>
  <c r="P122" i="1" s="1"/>
  <c r="N121" i="1"/>
  <c r="O121" i="1" s="1"/>
  <c r="P121" i="1" s="1"/>
  <c r="N120" i="1"/>
  <c r="O120" i="1" s="1"/>
  <c r="P120" i="1" s="1"/>
  <c r="N119" i="1"/>
  <c r="O119" i="1" s="1"/>
  <c r="P119" i="1" s="1"/>
  <c r="N118" i="1"/>
  <c r="O118" i="1" s="1"/>
  <c r="P118" i="1" s="1"/>
  <c r="N117" i="1"/>
  <c r="O117" i="1" s="1"/>
  <c r="P117" i="1" s="1"/>
  <c r="N116" i="1"/>
  <c r="O116" i="1" s="1"/>
  <c r="P116" i="1" s="1"/>
  <c r="K116" i="1"/>
  <c r="H116" i="1"/>
  <c r="I116" i="1" s="1"/>
  <c r="N115" i="1"/>
  <c r="O115" i="1" s="1"/>
  <c r="P115" i="1" s="1"/>
  <c r="K115" i="1"/>
  <c r="H115" i="1"/>
  <c r="I115" i="1" s="1"/>
  <c r="N114" i="1"/>
  <c r="O114" i="1" s="1"/>
  <c r="P114" i="1" s="1"/>
  <c r="N113" i="1"/>
  <c r="O113" i="1" s="1"/>
  <c r="P113" i="1" s="1"/>
  <c r="N112" i="1"/>
  <c r="O112" i="1" s="1"/>
  <c r="P112" i="1" s="1"/>
  <c r="N111" i="1"/>
  <c r="O111" i="1" s="1"/>
  <c r="P111" i="1" s="1"/>
  <c r="N110" i="1"/>
  <c r="O110" i="1" s="1"/>
  <c r="P110" i="1" s="1"/>
  <c r="K110" i="1"/>
  <c r="H110" i="1"/>
  <c r="I110" i="1" s="1"/>
  <c r="N109" i="1"/>
  <c r="O109" i="1" s="1"/>
  <c r="P109" i="1" s="1"/>
  <c r="K109" i="1"/>
  <c r="H109" i="1"/>
  <c r="I109" i="1" s="1"/>
  <c r="N108" i="1"/>
  <c r="O108" i="1" s="1"/>
  <c r="P108" i="1" s="1"/>
  <c r="K108" i="1"/>
  <c r="H108" i="1"/>
  <c r="I108" i="1" s="1"/>
  <c r="N107" i="1"/>
  <c r="O107" i="1" s="1"/>
  <c r="P107" i="1" s="1"/>
  <c r="K107" i="1"/>
  <c r="H107" i="1"/>
  <c r="I107" i="1" s="1"/>
  <c r="N106" i="1"/>
  <c r="O106" i="1" s="1"/>
  <c r="P106" i="1" s="1"/>
  <c r="K106" i="1"/>
  <c r="H106" i="1"/>
  <c r="I106" i="1" s="1"/>
  <c r="N105" i="1"/>
  <c r="O105" i="1" s="1"/>
  <c r="P105" i="1" s="1"/>
  <c r="K105" i="1"/>
  <c r="H105" i="1"/>
  <c r="I105" i="1" s="1"/>
  <c r="N104" i="1"/>
  <c r="O104" i="1" s="1"/>
  <c r="P104" i="1" s="1"/>
  <c r="K104" i="1"/>
  <c r="H104" i="1"/>
  <c r="I104" i="1" s="1"/>
  <c r="N103" i="1"/>
  <c r="O103" i="1" s="1"/>
  <c r="H103" i="1"/>
  <c r="N102" i="1"/>
  <c r="O102" i="1" s="1"/>
  <c r="P102" i="1" s="1"/>
  <c r="K102" i="1"/>
  <c r="H102" i="1"/>
  <c r="I102" i="1" s="1"/>
  <c r="N101" i="1"/>
  <c r="O101" i="1" s="1"/>
  <c r="P101" i="1" s="1"/>
  <c r="K101" i="1"/>
  <c r="H101" i="1"/>
  <c r="I101" i="1" s="1"/>
  <c r="N100" i="1"/>
  <c r="O100" i="1" s="1"/>
  <c r="P100" i="1" s="1"/>
  <c r="K100" i="1"/>
  <c r="H100" i="1"/>
  <c r="I100" i="1" s="1"/>
  <c r="N99" i="1"/>
  <c r="O99" i="1" s="1"/>
  <c r="P99" i="1" s="1"/>
  <c r="N98" i="1"/>
  <c r="O98" i="1" s="1"/>
  <c r="P98" i="1" s="1"/>
  <c r="K98" i="1"/>
  <c r="H98" i="1"/>
  <c r="I98" i="1" s="1"/>
  <c r="N97" i="1"/>
  <c r="O97" i="1" s="1"/>
  <c r="P97" i="1" s="1"/>
  <c r="K97" i="1"/>
  <c r="H97" i="1"/>
  <c r="I97" i="1" s="1"/>
  <c r="N96" i="1"/>
  <c r="O96" i="1" s="1"/>
  <c r="P96" i="1" s="1"/>
  <c r="K96" i="1"/>
  <c r="H96" i="1"/>
  <c r="I96" i="1" s="1"/>
  <c r="N95" i="1"/>
  <c r="O95" i="1" s="1"/>
  <c r="N94" i="1"/>
  <c r="O94" i="1" s="1"/>
  <c r="P94" i="1" s="1"/>
  <c r="K94" i="1"/>
  <c r="H94" i="1"/>
  <c r="I94" i="1" s="1"/>
  <c r="N93" i="1"/>
  <c r="O93" i="1" s="1"/>
  <c r="P93" i="1" s="1"/>
  <c r="K93" i="1"/>
  <c r="H93" i="1"/>
  <c r="I93" i="1" s="1"/>
  <c r="N92" i="1"/>
  <c r="O92" i="1" s="1"/>
  <c r="P92" i="1" s="1"/>
  <c r="K92" i="1"/>
  <c r="H92" i="1"/>
  <c r="I92" i="1" s="1"/>
  <c r="N91" i="1"/>
  <c r="O91" i="1" s="1"/>
  <c r="P91" i="1" s="1"/>
  <c r="K91" i="1"/>
  <c r="H91" i="1"/>
  <c r="I91" i="1" s="1"/>
  <c r="N89" i="1"/>
  <c r="O89" i="1" s="1"/>
  <c r="P89" i="1" s="1"/>
  <c r="K89" i="1"/>
  <c r="H89" i="1"/>
  <c r="I89" i="1" s="1"/>
  <c r="N87" i="1"/>
  <c r="O87" i="1" s="1"/>
  <c r="P87" i="1" s="1"/>
  <c r="K87" i="1"/>
  <c r="H87" i="1"/>
  <c r="I87" i="1" s="1"/>
  <c r="N86" i="1"/>
  <c r="O86" i="1" s="1"/>
  <c r="P86" i="1" s="1"/>
  <c r="K86" i="1"/>
  <c r="H86" i="1"/>
  <c r="I86" i="1" s="1"/>
  <c r="N84" i="1"/>
  <c r="O84" i="1" s="1"/>
  <c r="P84" i="1" s="1"/>
  <c r="K84" i="1"/>
  <c r="H84" i="1"/>
  <c r="I84" i="1" s="1"/>
  <c r="N83" i="1"/>
  <c r="O83" i="1" s="1"/>
  <c r="N82" i="1"/>
  <c r="O82" i="1" s="1"/>
  <c r="P82" i="1" s="1"/>
  <c r="K82" i="1"/>
  <c r="H82" i="1"/>
  <c r="I82" i="1" s="1"/>
  <c r="N81" i="1"/>
  <c r="O81" i="1" s="1"/>
  <c r="P81" i="1" s="1"/>
  <c r="K81" i="1"/>
  <c r="H81" i="1"/>
  <c r="I81" i="1" s="1"/>
  <c r="N80" i="1"/>
  <c r="O80" i="1" s="1"/>
  <c r="N79" i="1"/>
  <c r="O79" i="1" s="1"/>
  <c r="P79" i="1" s="1"/>
  <c r="K79" i="1"/>
  <c r="H79" i="1"/>
  <c r="I79" i="1" s="1"/>
  <c r="Q79" i="1" s="1"/>
  <c r="N78" i="1"/>
  <c r="O78" i="1" s="1"/>
  <c r="P78" i="1" s="1"/>
  <c r="K78" i="1"/>
  <c r="H78" i="1"/>
  <c r="I78" i="1" s="1"/>
  <c r="N77" i="1"/>
  <c r="O77" i="1" s="1"/>
  <c r="N76" i="1"/>
  <c r="O76" i="1" s="1"/>
  <c r="P76" i="1" s="1"/>
  <c r="K76" i="1"/>
  <c r="H76" i="1"/>
  <c r="I76" i="1" s="1"/>
  <c r="N75" i="1"/>
  <c r="O75" i="1" s="1"/>
  <c r="P75" i="1" s="1"/>
  <c r="K75" i="1"/>
  <c r="H75" i="1"/>
  <c r="I75" i="1" s="1"/>
  <c r="N74" i="1"/>
  <c r="O74" i="1" s="1"/>
  <c r="O73" i="1"/>
  <c r="N73" i="1"/>
  <c r="N72" i="1"/>
  <c r="O72" i="1" s="1"/>
  <c r="P72" i="1" s="1"/>
  <c r="K72" i="1"/>
  <c r="H72" i="1"/>
  <c r="I72" i="1" s="1"/>
  <c r="N71" i="1"/>
  <c r="O71" i="1" s="1"/>
  <c r="P71" i="1" s="1"/>
  <c r="K71" i="1"/>
  <c r="H71" i="1"/>
  <c r="I71" i="1" s="1"/>
  <c r="N70" i="1"/>
  <c r="O70" i="1" s="1"/>
  <c r="P70" i="1" s="1"/>
  <c r="K70" i="1"/>
  <c r="H70" i="1"/>
  <c r="I70" i="1" s="1"/>
  <c r="N69" i="1"/>
  <c r="O69" i="1" s="1"/>
  <c r="P69" i="1" s="1"/>
  <c r="K69" i="1"/>
  <c r="H69" i="1"/>
  <c r="I69" i="1" s="1"/>
  <c r="N68" i="1"/>
  <c r="O68" i="1" s="1"/>
  <c r="P68" i="1" s="1"/>
  <c r="N67" i="1"/>
  <c r="O67" i="1" s="1"/>
  <c r="P67" i="1" s="1"/>
  <c r="K67" i="1"/>
  <c r="H67" i="1"/>
  <c r="I67" i="1" s="1"/>
  <c r="N66" i="1"/>
  <c r="O66" i="1" s="1"/>
  <c r="P66" i="1" s="1"/>
  <c r="K66" i="1"/>
  <c r="H66" i="1"/>
  <c r="I66" i="1" s="1"/>
  <c r="Q66" i="1" s="1"/>
  <c r="N64" i="1"/>
  <c r="O64" i="1" s="1"/>
  <c r="P64" i="1" s="1"/>
  <c r="K64" i="1"/>
  <c r="H64" i="1"/>
  <c r="I64" i="1" s="1"/>
  <c r="N63" i="1"/>
  <c r="O63" i="1" s="1"/>
  <c r="P63" i="1" s="1"/>
  <c r="N62" i="1"/>
  <c r="O62" i="1" s="1"/>
  <c r="P62" i="1" s="1"/>
  <c r="K62" i="1"/>
  <c r="H62" i="1"/>
  <c r="I62" i="1" s="1"/>
  <c r="N61" i="1"/>
  <c r="O61" i="1" s="1"/>
  <c r="P61" i="1" s="1"/>
  <c r="K61" i="1"/>
  <c r="H61" i="1"/>
  <c r="I61" i="1" s="1"/>
  <c r="N60" i="1"/>
  <c r="O60" i="1" s="1"/>
  <c r="N59" i="1"/>
  <c r="O59" i="1" s="1"/>
  <c r="N58" i="1"/>
  <c r="O58" i="1" s="1"/>
  <c r="N57" i="1"/>
  <c r="O57" i="1" s="1"/>
  <c r="P57" i="1" s="1"/>
  <c r="K57" i="1"/>
  <c r="H57" i="1"/>
  <c r="I57" i="1" s="1"/>
  <c r="N56" i="1"/>
  <c r="O56" i="1" s="1"/>
  <c r="P56" i="1" s="1"/>
  <c r="K56" i="1"/>
  <c r="H56" i="1"/>
  <c r="I56" i="1" s="1"/>
  <c r="O55" i="1"/>
  <c r="P55" i="1" s="1"/>
  <c r="O52" i="1"/>
  <c r="P52" i="1" s="1"/>
  <c r="O51" i="1"/>
  <c r="P51" i="1" s="1"/>
  <c r="O48" i="1"/>
  <c r="P48" i="1" s="1"/>
  <c r="N47" i="1"/>
  <c r="O47" i="1" s="1"/>
  <c r="P47" i="1" s="1"/>
  <c r="K47" i="1"/>
  <c r="H47" i="1"/>
  <c r="I47" i="1" s="1"/>
  <c r="N46" i="1"/>
  <c r="O46" i="1" s="1"/>
  <c r="P46" i="1" s="1"/>
  <c r="K46" i="1"/>
  <c r="H46" i="1"/>
  <c r="I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P37" i="1" s="1"/>
  <c r="K37" i="1"/>
  <c r="N36" i="1"/>
  <c r="O36" i="1" s="1"/>
  <c r="P36" i="1" s="1"/>
  <c r="K36" i="1"/>
  <c r="N35" i="1"/>
  <c r="O35" i="1" s="1"/>
  <c r="P35" i="1" s="1"/>
  <c r="K35" i="1"/>
  <c r="N34" i="1"/>
  <c r="O34" i="1" s="1"/>
  <c r="P34" i="1" s="1"/>
  <c r="K34" i="1"/>
  <c r="N33" i="1"/>
  <c r="O33" i="1" s="1"/>
  <c r="P33" i="1" s="1"/>
  <c r="K33" i="1"/>
  <c r="N32" i="1"/>
  <c r="O32" i="1" s="1"/>
  <c r="P32" i="1" s="1"/>
  <c r="K32" i="1"/>
  <c r="N31" i="1"/>
  <c r="O31" i="1" s="1"/>
  <c r="P31" i="1" s="1"/>
  <c r="K31" i="1"/>
  <c r="N30" i="1"/>
  <c r="O30" i="1" s="1"/>
  <c r="P30" i="1" s="1"/>
  <c r="K30" i="1"/>
  <c r="H30" i="1"/>
  <c r="I30" i="1" s="1"/>
  <c r="N29" i="1"/>
  <c r="O29" i="1" s="1"/>
  <c r="P29" i="1" s="1"/>
  <c r="K29" i="1"/>
  <c r="H29" i="1"/>
  <c r="I29" i="1" s="1"/>
  <c r="N27" i="1"/>
  <c r="O27" i="1" s="1"/>
  <c r="P27" i="1" s="1"/>
  <c r="K27" i="1"/>
  <c r="H27" i="1"/>
  <c r="I27" i="1" s="1"/>
  <c r="N23" i="1"/>
  <c r="P23" i="1" s="1"/>
  <c r="K23" i="1"/>
  <c r="H23" i="1"/>
  <c r="I23" i="1" s="1"/>
  <c r="B28" i="1"/>
  <c r="B29" i="1"/>
  <c r="B30" i="1"/>
  <c r="B46" i="1"/>
  <c r="B47" i="1"/>
  <c r="B56" i="1"/>
  <c r="B57" i="1"/>
  <c r="B61" i="1"/>
  <c r="B62" i="1"/>
  <c r="B64" i="1"/>
  <c r="B65" i="1"/>
  <c r="B66" i="1"/>
  <c r="B67" i="1"/>
  <c r="B69" i="1"/>
  <c r="B70" i="1"/>
  <c r="B71" i="1"/>
  <c r="B72" i="1"/>
  <c r="B75" i="1"/>
  <c r="B76" i="1"/>
  <c r="B78" i="1"/>
  <c r="B79" i="1"/>
  <c r="B81" i="1"/>
  <c r="B82" i="1"/>
  <c r="B84" i="1"/>
  <c r="B85" i="1"/>
  <c r="B86" i="1"/>
  <c r="B87" i="1"/>
  <c r="B89" i="1"/>
  <c r="B90" i="1"/>
  <c r="B91" i="1"/>
  <c r="B92" i="1"/>
  <c r="B93" i="1"/>
  <c r="B94" i="1"/>
  <c r="B96" i="1"/>
  <c r="B97" i="1"/>
  <c r="B98" i="1"/>
  <c r="B100" i="1"/>
  <c r="B101" i="1"/>
  <c r="B102" i="1"/>
  <c r="B104" i="1"/>
  <c r="B105" i="1"/>
  <c r="B107" i="1"/>
  <c r="B108" i="1"/>
  <c r="B109" i="1"/>
  <c r="B110" i="1"/>
  <c r="B115" i="1"/>
  <c r="B116" i="1"/>
  <c r="B125" i="1"/>
  <c r="B126" i="1"/>
  <c r="B129" i="1"/>
  <c r="B130" i="1"/>
  <c r="B132" i="1"/>
  <c r="B133" i="1"/>
  <c r="B142" i="1"/>
  <c r="B143" i="1"/>
  <c r="B156" i="1"/>
  <c r="B157" i="1"/>
  <c r="B159" i="1"/>
  <c r="B160" i="1"/>
  <c r="B164" i="1"/>
  <c r="B165" i="1"/>
  <c r="B167" i="1"/>
  <c r="B168" i="1"/>
  <c r="B170" i="1"/>
  <c r="B171" i="1"/>
  <c r="B179" i="1"/>
  <c r="B180" i="1"/>
  <c r="B183" i="1"/>
  <c r="B184" i="1"/>
  <c r="B186" i="1"/>
  <c r="B187" i="1"/>
  <c r="B188" i="1"/>
  <c r="B189" i="1"/>
  <c r="B191" i="1"/>
  <c r="B192" i="1"/>
  <c r="B194" i="1"/>
  <c r="B195" i="1"/>
  <c r="B197" i="1"/>
  <c r="B198" i="1"/>
  <c r="B200" i="1"/>
  <c r="B201" i="1"/>
  <c r="B202" i="1"/>
  <c r="B203" i="1"/>
  <c r="B205" i="1"/>
  <c r="B206" i="1"/>
  <c r="B209" i="1"/>
  <c r="B210" i="1"/>
  <c r="B213" i="1"/>
  <c r="B214" i="1"/>
  <c r="B217" i="1"/>
  <c r="B218" i="1"/>
  <c r="B221" i="1"/>
  <c r="B222" i="1"/>
  <c r="B225" i="1"/>
  <c r="B226" i="1"/>
  <c r="B230" i="1"/>
  <c r="B231" i="1"/>
  <c r="B234" i="1"/>
  <c r="B235" i="1"/>
  <c r="B237" i="1"/>
  <c r="B238" i="1"/>
  <c r="B240" i="1"/>
  <c r="B241" i="1"/>
  <c r="B247" i="1"/>
  <c r="B248" i="1"/>
  <c r="B249" i="1"/>
  <c r="B250" i="1"/>
  <c r="B252" i="1"/>
  <c r="B253" i="1"/>
  <c r="B256" i="1"/>
  <c r="B257" i="1"/>
  <c r="B258" i="1"/>
  <c r="B259" i="1"/>
  <c r="B260" i="1"/>
  <c r="B261" i="1"/>
  <c r="B266" i="1"/>
  <c r="B267" i="1"/>
  <c r="B270" i="1"/>
  <c r="B271" i="1"/>
  <c r="B272" i="1"/>
  <c r="B274" i="1"/>
  <c r="B275" i="1"/>
  <c r="B279" i="1"/>
  <c r="B280" i="1"/>
  <c r="B282" i="1"/>
  <c r="B283" i="1"/>
  <c r="B293" i="1"/>
  <c r="B294" i="1"/>
  <c r="B295" i="1"/>
  <c r="B296" i="1"/>
  <c r="B297" i="1"/>
  <c r="B300" i="1"/>
  <c r="B301" i="1"/>
  <c r="B304" i="1"/>
  <c r="B305" i="1"/>
  <c r="B306" i="1"/>
  <c r="B307" i="1"/>
  <c r="B314" i="1"/>
  <c r="B321" i="1"/>
  <c r="B328" i="1"/>
  <c r="B329" i="1"/>
  <c r="B336" i="1"/>
  <c r="B343" i="1"/>
  <c r="B350" i="1"/>
  <c r="B351" i="1"/>
  <c r="B355" i="1"/>
  <c r="B356" i="1"/>
  <c r="B357" i="1"/>
  <c r="B358" i="1"/>
  <c r="B360" i="1"/>
  <c r="B361" i="1"/>
  <c r="B363" i="1"/>
  <c r="B364" i="1"/>
  <c r="B366" i="1"/>
  <c r="B367" i="1"/>
  <c r="B368" i="1"/>
  <c r="B369" i="1"/>
  <c r="B375" i="1"/>
  <c r="B376" i="1"/>
  <c r="B377" i="1"/>
  <c r="B378" i="1"/>
  <c r="B379" i="1"/>
  <c r="B381" i="1"/>
  <c r="B382" i="1"/>
  <c r="B383" i="1"/>
  <c r="B384" i="1"/>
  <c r="B390" i="1"/>
  <c r="B391" i="1"/>
  <c r="B392" i="1"/>
  <c r="B397" i="1"/>
  <c r="B398" i="1"/>
  <c r="B404" i="1"/>
  <c r="B405" i="1"/>
  <c r="B407" i="1"/>
  <c r="B408" i="1"/>
  <c r="B411" i="1"/>
  <c r="B412" i="1"/>
  <c r="B414" i="1"/>
  <c r="B415" i="1"/>
  <c r="B416" i="1"/>
  <c r="B417" i="1"/>
  <c r="B419" i="1"/>
  <c r="B420" i="1"/>
  <c r="B422" i="1"/>
  <c r="B423" i="1"/>
  <c r="B425" i="1"/>
  <c r="B426" i="1"/>
  <c r="B427" i="1"/>
  <c r="B428" i="1"/>
  <c r="B430" i="1"/>
  <c r="B431" i="1"/>
  <c r="B433" i="1"/>
  <c r="B434" i="1"/>
  <c r="B435" i="1"/>
  <c r="B436" i="1"/>
  <c r="B438" i="1"/>
  <c r="B439" i="1"/>
  <c r="B441" i="1"/>
  <c r="B442" i="1"/>
  <c r="B444" i="1"/>
  <c r="B445" i="1"/>
  <c r="F354" i="1"/>
  <c r="F353" i="1"/>
  <c r="F352" i="1"/>
  <c r="F344" i="1"/>
  <c r="F342" i="1"/>
  <c r="F339" i="1"/>
  <c r="F338" i="1"/>
  <c r="F335" i="1"/>
  <c r="F332" i="1"/>
  <c r="F331" i="1"/>
  <c r="F322" i="1"/>
  <c r="F320" i="1"/>
  <c r="F317" i="1"/>
  <c r="F316" i="1"/>
  <c r="F308" i="1"/>
  <c r="F224" i="1"/>
  <c r="F220" i="1"/>
  <c r="F219" i="1"/>
  <c r="F216" i="1"/>
  <c r="F215" i="1"/>
  <c r="F212" i="1"/>
  <c r="F208" i="1"/>
  <c r="F204" i="1"/>
  <c r="F232" i="1"/>
  <c r="F229" i="1"/>
  <c r="F228" i="1"/>
  <c r="F127" i="1"/>
  <c r="F103" i="1"/>
  <c r="F95" i="1"/>
  <c r="F45" i="1"/>
  <c r="K45" i="1" s="1"/>
  <c r="F44" i="1"/>
  <c r="K44" i="1" s="1"/>
  <c r="F43" i="1"/>
  <c r="K43" i="1" s="1"/>
  <c r="F42" i="1"/>
  <c r="K42" i="1" s="1"/>
  <c r="K232" i="1" l="1"/>
  <c r="I232" i="1"/>
  <c r="K335" i="1"/>
  <c r="I335" i="1"/>
  <c r="Q335" i="1" s="1"/>
  <c r="P335" i="1"/>
  <c r="K339" i="1"/>
  <c r="P339" i="1"/>
  <c r="I339" i="1"/>
  <c r="Q339" i="1" s="1"/>
  <c r="Q329" i="1"/>
  <c r="K204" i="1"/>
  <c r="I204" i="1"/>
  <c r="Q204" i="1" s="1"/>
  <c r="K208" i="1"/>
  <c r="I208" i="1"/>
  <c r="K316" i="1"/>
  <c r="I316" i="1"/>
  <c r="P316" i="1"/>
  <c r="K95" i="1"/>
  <c r="I95" i="1"/>
  <c r="K212" i="1"/>
  <c r="I212" i="1"/>
  <c r="K317" i="1"/>
  <c r="I317" i="1"/>
  <c r="Q317" i="1" s="1"/>
  <c r="P317" i="1"/>
  <c r="K342" i="1"/>
  <c r="I342" i="1"/>
  <c r="P342" i="1"/>
  <c r="K320" i="1"/>
  <c r="I320" i="1"/>
  <c r="Q320" i="1" s="1"/>
  <c r="P320" i="1"/>
  <c r="K352" i="1"/>
  <c r="I352" i="1"/>
  <c r="I43" i="1"/>
  <c r="K338" i="1"/>
  <c r="I338" i="1"/>
  <c r="P338" i="1"/>
  <c r="K344" i="1"/>
  <c r="P344" i="1"/>
  <c r="I344" i="1"/>
  <c r="Q344" i="1" s="1"/>
  <c r="K216" i="1"/>
  <c r="I216" i="1"/>
  <c r="K228" i="1"/>
  <c r="I228" i="1"/>
  <c r="K219" i="1"/>
  <c r="I219" i="1"/>
  <c r="K331" i="1"/>
  <c r="I331" i="1"/>
  <c r="Q331" i="1" s="1"/>
  <c r="P331" i="1"/>
  <c r="K353" i="1"/>
  <c r="I353" i="1"/>
  <c r="I44" i="1"/>
  <c r="K224" i="1"/>
  <c r="I224" i="1"/>
  <c r="K215" i="1"/>
  <c r="I215" i="1"/>
  <c r="K127" i="1"/>
  <c r="I127" i="1"/>
  <c r="Q127" i="1" s="1"/>
  <c r="K322" i="1"/>
  <c r="P322" i="1"/>
  <c r="I322" i="1"/>
  <c r="Q322" i="1" s="1"/>
  <c r="K229" i="1"/>
  <c r="I229" i="1"/>
  <c r="P229" i="1"/>
  <c r="K220" i="1"/>
  <c r="I220" i="1"/>
  <c r="K332" i="1"/>
  <c r="P332" i="1"/>
  <c r="I332" i="1"/>
  <c r="Q332" i="1" s="1"/>
  <c r="K354" i="1"/>
  <c r="I354" i="1"/>
  <c r="I45" i="1"/>
  <c r="Q30" i="1"/>
  <c r="Q184" i="1"/>
  <c r="Q433" i="1"/>
  <c r="Q46" i="1"/>
  <c r="Q168" i="1"/>
  <c r="Q54" i="1"/>
  <c r="Q50" i="1"/>
  <c r="Q34" i="1"/>
  <c r="Q26" i="1"/>
  <c r="Q87" i="1"/>
  <c r="Q32" i="1"/>
  <c r="Q115" i="1"/>
  <c r="Q25" i="1"/>
  <c r="Q36" i="1"/>
  <c r="Q48" i="1"/>
  <c r="Q84" i="1"/>
  <c r="Q160" i="1"/>
  <c r="Q303" i="1"/>
  <c r="Q405" i="1"/>
  <c r="Q99" i="1"/>
  <c r="P45" i="1"/>
  <c r="Q52" i="1"/>
  <c r="Q56" i="1"/>
  <c r="Q100" i="1"/>
  <c r="Q427" i="1"/>
  <c r="Q431" i="1"/>
  <c r="Q435" i="1"/>
  <c r="Q370" i="1"/>
  <c r="Q364" i="1"/>
  <c r="Q423" i="1"/>
  <c r="Q445" i="1"/>
  <c r="Q292" i="1"/>
  <c r="Q163" i="1"/>
  <c r="Q407" i="1"/>
  <c r="Q444" i="1"/>
  <c r="Q374" i="1"/>
  <c r="Q67" i="1"/>
  <c r="Q75" i="1"/>
  <c r="Q131" i="1"/>
  <c r="Q152" i="1"/>
  <c r="Q290" i="1"/>
  <c r="Q368" i="1"/>
  <c r="Q379" i="1"/>
  <c r="Q390" i="1"/>
  <c r="Q398" i="1"/>
  <c r="Q443" i="1"/>
  <c r="P43" i="1"/>
  <c r="Q86" i="1"/>
  <c r="Q64" i="1"/>
  <c r="Q72" i="1"/>
  <c r="Q91" i="1"/>
  <c r="Q123" i="1"/>
  <c r="Q191" i="1"/>
  <c r="Q255" i="1"/>
  <c r="Q366" i="1"/>
  <c r="P95" i="1"/>
  <c r="F318" i="1"/>
  <c r="P353" i="1"/>
  <c r="P212" i="1"/>
  <c r="P216" i="1"/>
  <c r="Q82" i="1"/>
  <c r="Q111" i="1"/>
  <c r="Q144" i="1"/>
  <c r="P220" i="1"/>
  <c r="P228" i="1"/>
  <c r="Q254" i="1"/>
  <c r="K103" i="1"/>
  <c r="P103" i="1"/>
  <c r="I103" i="1"/>
  <c r="P42" i="1"/>
  <c r="P44" i="1"/>
  <c r="Q62" i="1"/>
  <c r="Q167" i="1"/>
  <c r="P204" i="1"/>
  <c r="P215" i="1"/>
  <c r="P232" i="1"/>
  <c r="Q232" i="1" s="1"/>
  <c r="Q250" i="1"/>
  <c r="F313" i="1"/>
  <c r="K308" i="1"/>
  <c r="F327" i="1"/>
  <c r="F341" i="1"/>
  <c r="Q198" i="1"/>
  <c r="P208" i="1"/>
  <c r="P219" i="1"/>
  <c r="P224" i="1"/>
  <c r="Q89" i="1"/>
  <c r="Q101" i="1"/>
  <c r="Q104" i="1"/>
  <c r="Q106" i="1"/>
  <c r="Q117" i="1"/>
  <c r="Q143" i="1"/>
  <c r="Q145" i="1"/>
  <c r="Q171" i="1"/>
  <c r="Q175" i="1"/>
  <c r="Q195" i="1"/>
  <c r="Q248" i="1"/>
  <c r="Q305" i="1"/>
  <c r="P308" i="1"/>
  <c r="Q375" i="1"/>
  <c r="Q378" i="1"/>
  <c r="Q388" i="1"/>
  <c r="Q396" i="1"/>
  <c r="Q24" i="1"/>
  <c r="Q81" i="1"/>
  <c r="Q105" i="1"/>
  <c r="Q107" i="1"/>
  <c r="Q108" i="1"/>
  <c r="Q119" i="1"/>
  <c r="Q121" i="1"/>
  <c r="P127" i="1"/>
  <c r="Q147" i="1"/>
  <c r="Q151" i="1"/>
  <c r="Q179" i="1"/>
  <c r="Q183" i="1"/>
  <c r="Q185" i="1"/>
  <c r="Q200" i="1"/>
  <c r="Q246" i="1"/>
  <c r="Q249" i="1"/>
  <c r="Q293" i="1"/>
  <c r="Q296" i="1"/>
  <c r="Q304" i="1"/>
  <c r="Q314" i="1"/>
  <c r="Q386" i="1"/>
  <c r="Q394" i="1"/>
  <c r="Q412" i="1"/>
  <c r="Q63" i="1"/>
  <c r="Q96" i="1"/>
  <c r="Q112" i="1"/>
  <c r="Q129" i="1"/>
  <c r="Q159" i="1"/>
  <c r="Q187" i="1"/>
  <c r="Q251" i="1"/>
  <c r="P352" i="1"/>
  <c r="Q408" i="1"/>
  <c r="Q289" i="1"/>
  <c r="Q306" i="1"/>
  <c r="I308" i="1"/>
  <c r="Q308" i="1" s="1"/>
  <c r="Q336" i="1"/>
  <c r="Q350" i="1"/>
  <c r="Q357" i="1"/>
  <c r="Q380" i="1"/>
  <c r="Q406" i="1"/>
  <c r="Q409" i="1"/>
  <c r="Q411" i="1"/>
  <c r="Q416" i="1"/>
  <c r="Q418" i="1"/>
  <c r="Q447" i="1"/>
  <c r="Q300" i="1"/>
  <c r="Q302" i="1"/>
  <c r="Q307" i="1"/>
  <c r="Q321" i="1"/>
  <c r="Q351" i="1"/>
  <c r="P354" i="1"/>
  <c r="Q360" i="1"/>
  <c r="Q361" i="1"/>
  <c r="Q363" i="1"/>
  <c r="Q369" i="1"/>
  <c r="Q381" i="1"/>
  <c r="Q384" i="1"/>
  <c r="Q410" i="1"/>
  <c r="Q413" i="1"/>
  <c r="Q417" i="1"/>
  <c r="Q419" i="1"/>
  <c r="Q420" i="1"/>
  <c r="Q422" i="1"/>
  <c r="Q291" i="1"/>
  <c r="Q365" i="1"/>
  <c r="Q371" i="1"/>
  <c r="Q373" i="1"/>
  <c r="Q424" i="1"/>
  <c r="Q440" i="1"/>
  <c r="Q442" i="1"/>
  <c r="Q439" i="1"/>
  <c r="Q441" i="1"/>
  <c r="Q428" i="1"/>
  <c r="Q430" i="1"/>
  <c r="Q432" i="1"/>
  <c r="Q434" i="1"/>
  <c r="Q436" i="1"/>
  <c r="Q438" i="1"/>
  <c r="Q425" i="1"/>
  <c r="Q403" i="1"/>
  <c r="Q414" i="1"/>
  <c r="Q402" i="1"/>
  <c r="Q383" i="1"/>
  <c r="Q385" i="1"/>
  <c r="Q387" i="1"/>
  <c r="Q389" i="1"/>
  <c r="Q391" i="1"/>
  <c r="Q393" i="1"/>
  <c r="Q395" i="1"/>
  <c r="Q397" i="1"/>
  <c r="Q399" i="1"/>
  <c r="Q401" i="1"/>
  <c r="Q376" i="1"/>
  <c r="Q359" i="1"/>
  <c r="Q358" i="1"/>
  <c r="Q299" i="1"/>
  <c r="Q301" i="1"/>
  <c r="Q328" i="1"/>
  <c r="Q355" i="1"/>
  <c r="Q298" i="1"/>
  <c r="Q343" i="1"/>
  <c r="Q297" i="1"/>
  <c r="Q259" i="1"/>
  <c r="Q261" i="1"/>
  <c r="Q263" i="1"/>
  <c r="Q265" i="1"/>
  <c r="Q267" i="1"/>
  <c r="Q269" i="1"/>
  <c r="Q271" i="1"/>
  <c r="Q273" i="1"/>
  <c r="Q275" i="1"/>
  <c r="Q277" i="1"/>
  <c r="Q279" i="1"/>
  <c r="Q281" i="1"/>
  <c r="Q283" i="1"/>
  <c r="Q285" i="1"/>
  <c r="Q287" i="1"/>
  <c r="Q294" i="1"/>
  <c r="Q258" i="1"/>
  <c r="Q260" i="1"/>
  <c r="Q262" i="1"/>
  <c r="Q264" i="1"/>
  <c r="Q266" i="1"/>
  <c r="Q268" i="1"/>
  <c r="Q270" i="1"/>
  <c r="Q272" i="1"/>
  <c r="Q274" i="1"/>
  <c r="Q276" i="1"/>
  <c r="Q278" i="1"/>
  <c r="Q280" i="1"/>
  <c r="Q282" i="1"/>
  <c r="Q284" i="1"/>
  <c r="Q286" i="1"/>
  <c r="Q288" i="1"/>
  <c r="Q252" i="1"/>
  <c r="Q203" i="1"/>
  <c r="Q205" i="1"/>
  <c r="Q207" i="1"/>
  <c r="Q209" i="1"/>
  <c r="Q211" i="1"/>
  <c r="Q213" i="1"/>
  <c r="Q217" i="1"/>
  <c r="Q221" i="1"/>
  <c r="Q223" i="1"/>
  <c r="Q225" i="1"/>
  <c r="Q227" i="1"/>
  <c r="Q231" i="1"/>
  <c r="Q233" i="1"/>
  <c r="Q235" i="1"/>
  <c r="Q237" i="1"/>
  <c r="Q241" i="1"/>
  <c r="Q245" i="1"/>
  <c r="Q256" i="1"/>
  <c r="Q206" i="1"/>
  <c r="Q210" i="1"/>
  <c r="Q218" i="1"/>
  <c r="Q234" i="1"/>
  <c r="Q240" i="1"/>
  <c r="Q202" i="1"/>
  <c r="Q214" i="1"/>
  <c r="Q222" i="1"/>
  <c r="Q226" i="1"/>
  <c r="Q230" i="1"/>
  <c r="Q238" i="1"/>
  <c r="Q253" i="1"/>
  <c r="Q110" i="1"/>
  <c r="Q93" i="1"/>
  <c r="Q98" i="1"/>
  <c r="Q109" i="1"/>
  <c r="Q114" i="1"/>
  <c r="Q94" i="1"/>
  <c r="Q92" i="1"/>
  <c r="Q97" i="1"/>
  <c r="Q102" i="1"/>
  <c r="Q113" i="1"/>
  <c r="Q122" i="1"/>
  <c r="Q146" i="1"/>
  <c r="Q125" i="1"/>
  <c r="Q133" i="1"/>
  <c r="Q149" i="1"/>
  <c r="Q157" i="1"/>
  <c r="Q165" i="1"/>
  <c r="Q189" i="1"/>
  <c r="Q193" i="1"/>
  <c r="Q197" i="1"/>
  <c r="Q118" i="1"/>
  <c r="Q130" i="1"/>
  <c r="Q154" i="1"/>
  <c r="Q170" i="1"/>
  <c r="Q186" i="1"/>
  <c r="Q116" i="1"/>
  <c r="Q120" i="1"/>
  <c r="Q124" i="1"/>
  <c r="Q126" i="1"/>
  <c r="Q132" i="1"/>
  <c r="Q142" i="1"/>
  <c r="Q148" i="1"/>
  <c r="Q150" i="1"/>
  <c r="Q156" i="1"/>
  <c r="Q158" i="1"/>
  <c r="Q164" i="1"/>
  <c r="Q174" i="1"/>
  <c r="Q180" i="1"/>
  <c r="Q182" i="1"/>
  <c r="Q188" i="1"/>
  <c r="Q190" i="1"/>
  <c r="Q192" i="1"/>
  <c r="Q194" i="1"/>
  <c r="Q196" i="1"/>
  <c r="Q69" i="1"/>
  <c r="Q71" i="1"/>
  <c r="Q76" i="1"/>
  <c r="Q78" i="1"/>
  <c r="Q68" i="1"/>
  <c r="Q70" i="1"/>
  <c r="Q29" i="1"/>
  <c r="Q31" i="1"/>
  <c r="Q33" i="1"/>
  <c r="Q35" i="1"/>
  <c r="Q37" i="1"/>
  <c r="Q45" i="1"/>
  <c r="Q47" i="1"/>
  <c r="Q49" i="1"/>
  <c r="Q51" i="1"/>
  <c r="Q53" i="1"/>
  <c r="Q55" i="1"/>
  <c r="Q57" i="1"/>
  <c r="Q61" i="1"/>
  <c r="Q27" i="1"/>
  <c r="Q23" i="1"/>
  <c r="F324" i="1"/>
  <c r="F310" i="1"/>
  <c r="K310" i="1" s="1"/>
  <c r="F319" i="1"/>
  <c r="F340" i="1"/>
  <c r="F309" i="1"/>
  <c r="F346" i="1"/>
  <c r="F349" i="1"/>
  <c r="F345" i="1"/>
  <c r="F334" i="1"/>
  <c r="F333" i="1"/>
  <c r="F323" i="1"/>
  <c r="K346" i="1" l="1"/>
  <c r="P346" i="1"/>
  <c r="I346" i="1"/>
  <c r="Q219" i="1"/>
  <c r="Q338" i="1"/>
  <c r="Q224" i="1"/>
  <c r="Q208" i="1"/>
  <c r="K349" i="1"/>
  <c r="I349" i="1"/>
  <c r="P349" i="1"/>
  <c r="K323" i="1"/>
  <c r="P323" i="1"/>
  <c r="I323" i="1"/>
  <c r="I319" i="1"/>
  <c r="K319" i="1"/>
  <c r="P319" i="1"/>
  <c r="K341" i="1"/>
  <c r="P341" i="1"/>
  <c r="I341" i="1"/>
  <c r="K318" i="1"/>
  <c r="P318" i="1"/>
  <c r="I318" i="1"/>
  <c r="Q318" i="1" s="1"/>
  <c r="Q342" i="1"/>
  <c r="K345" i="1"/>
  <c r="P345" i="1"/>
  <c r="I345" i="1"/>
  <c r="Q345" i="1" s="1"/>
  <c r="K333" i="1"/>
  <c r="P333" i="1"/>
  <c r="I333" i="1"/>
  <c r="K327" i="1"/>
  <c r="I327" i="1"/>
  <c r="P327" i="1"/>
  <c r="Q220" i="1"/>
  <c r="P340" i="1"/>
  <c r="K340" i="1"/>
  <c r="I340" i="1"/>
  <c r="Q340" i="1" s="1"/>
  <c r="I334" i="1"/>
  <c r="K334" i="1"/>
  <c r="P334" i="1"/>
  <c r="Q334" i="1" s="1"/>
  <c r="K324" i="1"/>
  <c r="I324" i="1"/>
  <c r="P324" i="1"/>
  <c r="Q43" i="1"/>
  <c r="Q229" i="1"/>
  <c r="Q316" i="1"/>
  <c r="Q216" i="1"/>
  <c r="Q215" i="1"/>
  <c r="Q212" i="1"/>
  <c r="Q228" i="1"/>
  <c r="Q352" i="1"/>
  <c r="Q354" i="1"/>
  <c r="Q95" i="1"/>
  <c r="K309" i="1"/>
  <c r="I309" i="1"/>
  <c r="P310" i="1"/>
  <c r="Q44" i="1"/>
  <c r="P309" i="1"/>
  <c r="Q42" i="1"/>
  <c r="I310" i="1"/>
  <c r="K313" i="1"/>
  <c r="P313" i="1"/>
  <c r="I313" i="1"/>
  <c r="Q353" i="1"/>
  <c r="Q103" i="1"/>
  <c r="F311" i="1"/>
  <c r="F312" i="1"/>
  <c r="F326" i="1"/>
  <c r="F325" i="1"/>
  <c r="F347" i="1"/>
  <c r="F348" i="1"/>
  <c r="P347" i="1" l="1"/>
  <c r="K347" i="1"/>
  <c r="I347" i="1"/>
  <c r="Q347" i="1" s="1"/>
  <c r="Q333" i="1"/>
  <c r="Q323" i="1"/>
  <c r="K325" i="1"/>
  <c r="I325" i="1"/>
  <c r="P325" i="1"/>
  <c r="Q319" i="1"/>
  <c r="K326" i="1"/>
  <c r="P326" i="1"/>
  <c r="I326" i="1"/>
  <c r="Q326" i="1" s="1"/>
  <c r="Q341" i="1"/>
  <c r="Q346" i="1"/>
  <c r="K348" i="1"/>
  <c r="I348" i="1"/>
  <c r="Q348" i="1" s="1"/>
  <c r="P348" i="1"/>
  <c r="Q327" i="1"/>
  <c r="Q324" i="1"/>
  <c r="Q349" i="1"/>
  <c r="Q310" i="1"/>
  <c r="Q309" i="1"/>
  <c r="K312" i="1"/>
  <c r="I312" i="1"/>
  <c r="P312" i="1"/>
  <c r="Q313" i="1"/>
  <c r="K311" i="1"/>
  <c r="P311" i="1"/>
  <c r="I311" i="1"/>
  <c r="F60" i="1"/>
  <c r="F59" i="1"/>
  <c r="F58" i="1"/>
  <c r="F41" i="1"/>
  <c r="I41" i="1" s="1"/>
  <c r="F446" i="1"/>
  <c r="Q325" i="1" l="1"/>
  <c r="K59" i="1"/>
  <c r="I59" i="1"/>
  <c r="K60" i="1"/>
  <c r="I60" i="1"/>
  <c r="K58" i="1"/>
  <c r="I58" i="1"/>
  <c r="K446" i="1"/>
  <c r="I446" i="1"/>
  <c r="Q311" i="1"/>
  <c r="P446" i="1"/>
  <c r="P60" i="1"/>
  <c r="K41" i="1"/>
  <c r="P41" i="1"/>
  <c r="P58" i="1"/>
  <c r="P59" i="1"/>
  <c r="Q312" i="1"/>
  <c r="F155" i="1"/>
  <c r="F153" i="1"/>
  <c r="F40" i="1"/>
  <c r="I40" i="1" s="1"/>
  <c r="F39" i="1"/>
  <c r="I39" i="1" s="1"/>
  <c r="F38" i="1"/>
  <c r="I38" i="1" s="1"/>
  <c r="F244" i="1"/>
  <c r="F162" i="1"/>
  <c r="F141" i="1"/>
  <c r="F140" i="1"/>
  <c r="F139" i="1"/>
  <c r="F138" i="1"/>
  <c r="F137" i="1"/>
  <c r="F136" i="1"/>
  <c r="F135" i="1"/>
  <c r="F134" i="1"/>
  <c r="F166" i="1"/>
  <c r="F243" i="1"/>
  <c r="F161" i="1"/>
  <c r="F173" i="1"/>
  <c r="F178" i="1"/>
  <c r="F177" i="1"/>
  <c r="F176" i="1"/>
  <c r="F172" i="1"/>
  <c r="F421" i="1"/>
  <c r="F77" i="1"/>
  <c r="F74" i="1"/>
  <c r="F73" i="1"/>
  <c r="F83" i="1"/>
  <c r="F239" i="1"/>
  <c r="F236" i="1"/>
  <c r="F242" i="1"/>
  <c r="F80" i="1"/>
  <c r="K134" i="1" l="1"/>
  <c r="I134" i="1"/>
  <c r="K176" i="1"/>
  <c r="I176" i="1"/>
  <c r="K83" i="1"/>
  <c r="I83" i="1"/>
  <c r="K242" i="1"/>
  <c r="I242" i="1"/>
  <c r="K236" i="1"/>
  <c r="I236" i="1"/>
  <c r="K173" i="1"/>
  <c r="I173" i="1"/>
  <c r="K138" i="1"/>
  <c r="I138" i="1"/>
  <c r="K172" i="1"/>
  <c r="I172" i="1"/>
  <c r="K135" i="1"/>
  <c r="I135" i="1"/>
  <c r="K178" i="1"/>
  <c r="I178" i="1"/>
  <c r="K161" i="1"/>
  <c r="I161" i="1"/>
  <c r="K139" i="1"/>
  <c r="I139" i="1"/>
  <c r="K153" i="1"/>
  <c r="I153" i="1"/>
  <c r="K162" i="1"/>
  <c r="I162" i="1"/>
  <c r="K136" i="1"/>
  <c r="I136" i="1"/>
  <c r="K137" i="1"/>
  <c r="I137" i="1"/>
  <c r="K77" i="1"/>
  <c r="I77" i="1"/>
  <c r="K243" i="1"/>
  <c r="I243" i="1"/>
  <c r="K140" i="1"/>
  <c r="I140" i="1"/>
  <c r="K155" i="1"/>
  <c r="I155" i="1"/>
  <c r="K244" i="1"/>
  <c r="I244" i="1"/>
  <c r="K177" i="1"/>
  <c r="I177" i="1"/>
  <c r="K73" i="1"/>
  <c r="I73" i="1"/>
  <c r="K74" i="1"/>
  <c r="I74" i="1"/>
  <c r="Q74" i="1" s="1"/>
  <c r="K80" i="1"/>
  <c r="I80" i="1"/>
  <c r="K421" i="1"/>
  <c r="I421" i="1"/>
  <c r="K166" i="1"/>
  <c r="I166" i="1"/>
  <c r="K141" i="1"/>
  <c r="I141" i="1"/>
  <c r="Q141" i="1" s="1"/>
  <c r="Q58" i="1"/>
  <c r="Q60" i="1"/>
  <c r="Q446" i="1"/>
  <c r="Q41" i="1"/>
  <c r="P77" i="1"/>
  <c r="Q77" i="1"/>
  <c r="P177" i="1"/>
  <c r="P243" i="1"/>
  <c r="P136" i="1"/>
  <c r="P140" i="1"/>
  <c r="K38" i="1"/>
  <c r="P38" i="1"/>
  <c r="P155" i="1"/>
  <c r="P83" i="1"/>
  <c r="P421" i="1"/>
  <c r="P178" i="1"/>
  <c r="P166" i="1"/>
  <c r="P137" i="1"/>
  <c r="P141" i="1"/>
  <c r="K39" i="1"/>
  <c r="P39" i="1"/>
  <c r="P80" i="1"/>
  <c r="P73" i="1"/>
  <c r="P172" i="1"/>
  <c r="P173" i="1"/>
  <c r="P134" i="1"/>
  <c r="P138" i="1"/>
  <c r="P162" i="1"/>
  <c r="Q162" i="1" s="1"/>
  <c r="K40" i="1"/>
  <c r="P40" i="1"/>
  <c r="K239" i="1"/>
  <c r="I239" i="1"/>
  <c r="P239" i="1"/>
  <c r="P242" i="1"/>
  <c r="P236" i="1"/>
  <c r="P74" i="1"/>
  <c r="P176" i="1"/>
  <c r="P161" i="1"/>
  <c r="P135" i="1"/>
  <c r="Q135" i="1" s="1"/>
  <c r="P139" i="1"/>
  <c r="P244" i="1"/>
  <c r="P153" i="1"/>
  <c r="Q59" i="1"/>
  <c r="F88" i="1"/>
  <c r="B447" i="1"/>
  <c r="K88" i="1" l="1"/>
  <c r="P88" i="1"/>
  <c r="I88" i="1"/>
  <c r="Q88" i="1" s="1"/>
  <c r="Q242" i="1"/>
  <c r="Q138" i="1"/>
  <c r="Q137" i="1"/>
  <c r="Q136" i="1"/>
  <c r="Q173" i="1"/>
  <c r="Q39" i="1"/>
  <c r="Q161" i="1"/>
  <c r="Q172" i="1"/>
  <c r="Q177" i="1"/>
  <c r="Q244" i="1"/>
  <c r="Q176" i="1"/>
  <c r="Q239" i="1"/>
  <c r="Q134" i="1"/>
  <c r="Q166" i="1"/>
  <c r="Q153" i="1"/>
  <c r="Q73" i="1"/>
  <c r="Q83" i="1"/>
  <c r="Q236" i="1"/>
  <c r="Q421" i="1"/>
  <c r="Q140" i="1"/>
  <c r="Q139" i="1"/>
  <c r="Q40" i="1"/>
  <c r="Q80" i="1"/>
  <c r="Q178" i="1"/>
  <c r="Q155" i="1"/>
  <c r="Q38" i="1"/>
  <c r="Q243" i="1"/>
  <c r="D22" i="2"/>
  <c r="B23" i="1"/>
  <c r="B24" i="1" l="1"/>
  <c r="B25" i="1" l="1"/>
  <c r="B26" i="1" s="1"/>
  <c r="B31" i="1" s="1"/>
  <c r="B32" i="1" s="1"/>
  <c r="H28" i="1"/>
  <c r="C26" i="2"/>
  <c r="D26" i="2"/>
  <c r="E15" i="2"/>
  <c r="E14" i="2"/>
  <c r="O382" i="1"/>
  <c r="H382" i="1"/>
  <c r="O377" i="1"/>
  <c r="H377" i="1"/>
  <c r="O367" i="1"/>
  <c r="H367" i="1"/>
  <c r="H295" i="1"/>
  <c r="H201" i="1"/>
  <c r="B33" i="1" l="1"/>
  <c r="B34" i="1"/>
  <c r="O201" i="1"/>
  <c r="P201" i="1" s="1"/>
  <c r="P367" i="1"/>
  <c r="H257" i="1"/>
  <c r="I257" i="1" s="1"/>
  <c r="H415" i="1"/>
  <c r="I415" i="1" s="1"/>
  <c r="H65" i="1"/>
  <c r="I65" i="1" s="1"/>
  <c r="I201" i="1"/>
  <c r="I367" i="1"/>
  <c r="P382" i="1"/>
  <c r="O85" i="1"/>
  <c r="P85" i="1" s="1"/>
  <c r="H90" i="1"/>
  <c r="I90" i="1" s="1"/>
  <c r="I295" i="1"/>
  <c r="O356" i="1"/>
  <c r="P356" i="1" s="1"/>
  <c r="I382" i="1"/>
  <c r="O415" i="1"/>
  <c r="P415" i="1" s="1"/>
  <c r="H426" i="1"/>
  <c r="I426" i="1" s="1"/>
  <c r="O28" i="1"/>
  <c r="P28" i="1" s="1"/>
  <c r="O90" i="1"/>
  <c r="P90" i="1" s="1"/>
  <c r="O257" i="1"/>
  <c r="P257" i="1" s="1"/>
  <c r="O295" i="1"/>
  <c r="P295" i="1" s="1"/>
  <c r="H356" i="1"/>
  <c r="I356" i="1" s="1"/>
  <c r="I377" i="1"/>
  <c r="O426" i="1"/>
  <c r="P426" i="1" s="1"/>
  <c r="O65" i="1"/>
  <c r="P65" i="1" s="1"/>
  <c r="P377" i="1"/>
  <c r="I28" i="1"/>
  <c r="H85" i="1"/>
  <c r="I85" i="1" s="1"/>
  <c r="Q382" i="1"/>
  <c r="Q377" i="1"/>
  <c r="Q367" i="1"/>
  <c r="D16" i="2"/>
  <c r="D15" i="2"/>
  <c r="D33" i="2"/>
  <c r="D32" i="2"/>
  <c r="D31" i="2"/>
  <c r="D30" i="2"/>
  <c r="D29" i="2"/>
  <c r="D28" i="2"/>
  <c r="D27" i="2"/>
  <c r="D25" i="2"/>
  <c r="D24" i="2"/>
  <c r="D23" i="2"/>
  <c r="D21" i="2"/>
  <c r="D20" i="2"/>
  <c r="C23" i="2"/>
  <c r="C24" i="2"/>
  <c r="C25" i="2"/>
  <c r="C27" i="2"/>
  <c r="C28" i="2"/>
  <c r="C29" i="2"/>
  <c r="C30" i="2"/>
  <c r="C31" i="2"/>
  <c r="C32" i="2"/>
  <c r="C33" i="2"/>
  <c r="C22" i="2"/>
  <c r="C21" i="2"/>
  <c r="C20" i="2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5" i="1" s="1"/>
  <c r="B58" i="1" s="1"/>
  <c r="B59" i="1" s="1"/>
  <c r="B60" i="1" s="1"/>
  <c r="B63" i="1" s="1"/>
  <c r="B68" i="1" s="1"/>
  <c r="B73" i="1" s="1"/>
  <c r="B74" i="1" s="1"/>
  <c r="B77" i="1" s="1"/>
  <c r="B80" i="1" s="1"/>
  <c r="B83" i="1" s="1"/>
  <c r="B88" i="1" s="1"/>
  <c r="B95" i="1" s="1"/>
  <c r="B99" i="1" s="1"/>
  <c r="B103" i="1" s="1"/>
  <c r="B106" i="1" s="1"/>
  <c r="B111" i="1" s="1"/>
  <c r="B112" i="1" s="1"/>
  <c r="B113" i="1" s="1"/>
  <c r="B114" i="1" s="1"/>
  <c r="B117" i="1" s="1"/>
  <c r="B118" i="1" s="1"/>
  <c r="B119" i="1" s="1"/>
  <c r="B120" i="1" s="1"/>
  <c r="B121" i="1" s="1"/>
  <c r="B122" i="1" s="1"/>
  <c r="B123" i="1" s="1"/>
  <c r="B124" i="1" s="1"/>
  <c r="B127" i="1" s="1"/>
  <c r="B128" i="1" s="1"/>
  <c r="B131" i="1" s="1"/>
  <c r="B134" i="1" s="1"/>
  <c r="B135" i="1" s="1"/>
  <c r="B136" i="1" s="1"/>
  <c r="B137" i="1" s="1"/>
  <c r="B138" i="1" s="1"/>
  <c r="B139" i="1" s="1"/>
  <c r="B140" i="1" s="1"/>
  <c r="B141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8" i="1" s="1"/>
  <c r="B161" i="1" s="1"/>
  <c r="B162" i="1" s="1"/>
  <c r="B163" i="1" s="1"/>
  <c r="B166" i="1" s="1"/>
  <c r="B169" i="1" s="1"/>
  <c r="B172" i="1" s="1"/>
  <c r="B173" i="1" s="1"/>
  <c r="B174" i="1" s="1"/>
  <c r="B175" i="1" s="1"/>
  <c r="B176" i="1" s="1"/>
  <c r="B177" i="1" s="1"/>
  <c r="B178" i="1" s="1"/>
  <c r="B181" i="1" s="1"/>
  <c r="B182" i="1" s="1"/>
  <c r="B185" i="1" s="1"/>
  <c r="B190" i="1" s="1"/>
  <c r="B193" i="1" s="1"/>
  <c r="B196" i="1" s="1"/>
  <c r="B199" i="1" s="1"/>
  <c r="B204" i="1" s="1"/>
  <c r="B207" i="1" s="1"/>
  <c r="B208" i="1" s="1"/>
  <c r="B211" i="1" s="1"/>
  <c r="B212" i="1" s="1"/>
  <c r="B215" i="1" s="1"/>
  <c r="B216" i="1" s="1"/>
  <c r="B219" i="1" s="1"/>
  <c r="B220" i="1" s="1"/>
  <c r="B223" i="1" s="1"/>
  <c r="B224" i="1" s="1"/>
  <c r="B227" i="1" s="1"/>
  <c r="B228" i="1" s="1"/>
  <c r="B229" i="1" s="1"/>
  <c r="B232" i="1" s="1"/>
  <c r="B233" i="1" s="1"/>
  <c r="B236" i="1" s="1"/>
  <c r="B239" i="1" s="1"/>
  <c r="B242" i="1" s="1"/>
  <c r="B243" i="1" s="1"/>
  <c r="B244" i="1" s="1"/>
  <c r="B245" i="1" s="1"/>
  <c r="B246" i="1" s="1"/>
  <c r="B251" i="1" s="1"/>
  <c r="B254" i="1" s="1"/>
  <c r="B255" i="1" s="1"/>
  <c r="B262" i="1" s="1"/>
  <c r="B263" i="1" s="1"/>
  <c r="B264" i="1" s="1"/>
  <c r="B265" i="1" s="1"/>
  <c r="B268" i="1" s="1"/>
  <c r="B269" i="1" s="1"/>
  <c r="B273" i="1" s="1"/>
  <c r="B276" i="1" s="1"/>
  <c r="B277" i="1" s="1"/>
  <c r="B278" i="1" s="1"/>
  <c r="B281" i="1" s="1"/>
  <c r="B284" i="1" s="1"/>
  <c r="B285" i="1" s="1"/>
  <c r="B286" i="1" s="1"/>
  <c r="B287" i="1" s="1"/>
  <c r="B288" i="1" s="1"/>
  <c r="B289" i="1" s="1"/>
  <c r="B290" i="1" s="1"/>
  <c r="B291" i="1" s="1"/>
  <c r="B292" i="1" s="1"/>
  <c r="B298" i="1" s="1"/>
  <c r="B299" i="1" s="1"/>
  <c r="B302" i="1" s="1"/>
  <c r="B303" i="1" s="1"/>
  <c r="B308" i="1" s="1"/>
  <c r="B309" i="1" s="1"/>
  <c r="B310" i="1" s="1"/>
  <c r="B311" i="1" s="1"/>
  <c r="B312" i="1" s="1"/>
  <c r="B313" i="1" s="1"/>
  <c r="B315" i="1" s="1"/>
  <c r="B316" i="1" s="1"/>
  <c r="B317" i="1" s="1"/>
  <c r="B318" i="1" s="1"/>
  <c r="B319" i="1" s="1"/>
  <c r="B320" i="1" s="1"/>
  <c r="B322" i="1" s="1"/>
  <c r="B323" i="1" s="1"/>
  <c r="B324" i="1" s="1"/>
  <c r="B325" i="1" s="1"/>
  <c r="B326" i="1" s="1"/>
  <c r="B327" i="1" s="1"/>
  <c r="B330" i="1" s="1"/>
  <c r="B331" i="1" s="1"/>
  <c r="B332" i="1" s="1"/>
  <c r="B333" i="1" s="1"/>
  <c r="B334" i="1" s="1"/>
  <c r="B335" i="1" s="1"/>
  <c r="B337" i="1" s="1"/>
  <c r="B338" i="1" s="1"/>
  <c r="B339" i="1" s="1"/>
  <c r="B340" i="1" s="1"/>
  <c r="B341" i="1" s="1"/>
  <c r="B342" i="1" s="1"/>
  <c r="B344" i="1" s="1"/>
  <c r="B345" i="1" s="1"/>
  <c r="B346" i="1" s="1"/>
  <c r="B347" i="1" s="1"/>
  <c r="B348" i="1" s="1"/>
  <c r="B349" i="1" s="1"/>
  <c r="B352" i="1" s="1"/>
  <c r="B353" i="1" s="1"/>
  <c r="B354" i="1" s="1"/>
  <c r="B359" i="1" s="1"/>
  <c r="B362" i="1" s="1"/>
  <c r="B365" i="1" s="1"/>
  <c r="B370" i="1" s="1"/>
  <c r="B371" i="1" s="1"/>
  <c r="B372" i="1" s="1"/>
  <c r="B373" i="1" s="1"/>
  <c r="B374" i="1" s="1"/>
  <c r="B380" i="1" s="1"/>
  <c r="B385" i="1" s="1"/>
  <c r="B386" i="1" s="1"/>
  <c r="B387" i="1" s="1"/>
  <c r="B388" i="1" s="1"/>
  <c r="B389" i="1" s="1"/>
  <c r="B393" i="1" s="1"/>
  <c r="B394" i="1" s="1"/>
  <c r="B395" i="1" s="1"/>
  <c r="B396" i="1" s="1"/>
  <c r="B399" i="1" s="1"/>
  <c r="B400" i="1" s="1"/>
  <c r="B401" i="1" s="1"/>
  <c r="B402" i="1" s="1"/>
  <c r="B403" i="1" s="1"/>
  <c r="B406" i="1" s="1"/>
  <c r="B409" i="1" s="1"/>
  <c r="B410" i="1" s="1"/>
  <c r="B413" i="1" s="1"/>
  <c r="B418" i="1" s="1"/>
  <c r="B421" i="1" s="1"/>
  <c r="B424" i="1" s="1"/>
  <c r="B429" i="1" s="1"/>
  <c r="B432" i="1" s="1"/>
  <c r="B437" i="1" s="1"/>
  <c r="B440" i="1" s="1"/>
  <c r="B443" i="1" s="1"/>
  <c r="B446" i="1" s="1"/>
  <c r="Q201" i="1"/>
  <c r="Q415" i="1"/>
  <c r="Q356" i="1"/>
  <c r="Q65" i="1"/>
  <c r="Q90" i="1"/>
  <c r="Q295" i="1"/>
  <c r="Q28" i="1"/>
  <c r="R28" i="1" s="1"/>
  <c r="Q257" i="1"/>
  <c r="Q426" i="1"/>
  <c r="Q85" i="1"/>
  <c r="E22" i="2" l="1"/>
  <c r="F22" i="2"/>
  <c r="R65" i="1" l="1"/>
  <c r="G22" i="2" s="1"/>
  <c r="R85" i="1"/>
  <c r="G23" i="2" s="1"/>
  <c r="E23" i="2"/>
  <c r="F23" i="2"/>
  <c r="E26" i="2" l="1"/>
  <c r="F32" i="2" l="1"/>
  <c r="E31" i="2"/>
  <c r="F29" i="2"/>
  <c r="F27" i="2"/>
  <c r="F24" i="2"/>
  <c r="E21" i="2"/>
  <c r="E27" i="2"/>
  <c r="F26" i="2"/>
  <c r="E24" i="2"/>
  <c r="F21" i="2"/>
  <c r="E25" i="2"/>
  <c r="F28" i="2"/>
  <c r="R90" i="1"/>
  <c r="G24" i="2" s="1"/>
  <c r="R356" i="1"/>
  <c r="G28" i="2" s="1"/>
  <c r="R295" i="1"/>
  <c r="G27" i="2" s="1"/>
  <c r="G21" i="2"/>
  <c r="R367" i="1" l="1"/>
  <c r="G29" i="2" s="1"/>
  <c r="R377" i="1"/>
  <c r="G30" i="2" s="1"/>
  <c r="F33" i="2"/>
  <c r="R257" i="1"/>
  <c r="G26" i="2" s="1"/>
  <c r="F30" i="2"/>
  <c r="F25" i="2"/>
  <c r="E32" i="2"/>
  <c r="E33" i="2"/>
  <c r="E29" i="2"/>
  <c r="E28" i="2"/>
  <c r="R426" i="1"/>
  <c r="G33" i="2" s="1"/>
  <c r="R201" i="1"/>
  <c r="G25" i="2" s="1"/>
  <c r="R415" i="1"/>
  <c r="G32" i="2" s="1"/>
  <c r="R382" i="1"/>
  <c r="G31" i="2" s="1"/>
  <c r="E30" i="2"/>
  <c r="F31" i="2"/>
  <c r="N22" i="1"/>
  <c r="O22" i="1" s="1"/>
  <c r="P22" i="1" s="1"/>
  <c r="O21" i="1" s="1"/>
  <c r="F20" i="2" s="1"/>
  <c r="K22" i="1"/>
  <c r="R14" i="1" s="1"/>
  <c r="H22" i="1"/>
  <c r="I22" i="1" s="1"/>
  <c r="P21" i="1" l="1"/>
  <c r="R5" i="1"/>
  <c r="H21" i="1"/>
  <c r="E20" i="2" s="1"/>
  <c r="R6" i="1"/>
  <c r="R9" i="1" s="1"/>
  <c r="Q22" i="1"/>
  <c r="Q21" i="1" s="1"/>
  <c r="R21" i="1" l="1"/>
  <c r="G20" i="2" s="1"/>
  <c r="G35" i="2" s="1"/>
  <c r="I21" i="1"/>
  <c r="R7" i="1"/>
  <c r="R12" i="1" l="1"/>
  <c r="B20" i="2"/>
  <c r="B21" i="1"/>
  <c r="B20" i="1"/>
  <c r="B21" i="2" l="1"/>
  <c r="B22" i="2" s="1"/>
  <c r="R8" i="1"/>
  <c r="B23" i="2" l="1"/>
  <c r="R10" i="1"/>
  <c r="R11" i="1" l="1"/>
  <c r="B24" i="2" l="1"/>
  <c r="B25" i="2" s="1"/>
  <c r="B26" i="2" s="1"/>
  <c r="B27" i="2" s="1"/>
  <c r="B28" i="2" s="1"/>
  <c r="B29" i="2" s="1"/>
  <c r="B30" i="2" s="1"/>
  <c r="B31" i="2" s="1"/>
  <c r="B32" i="2" s="1"/>
  <c r="B33" i="2" s="1"/>
  <c r="R13" i="1"/>
</calcChain>
</file>

<file path=xl/sharedStrings.xml><?xml version="1.0" encoding="utf-8"?>
<sst xmlns="http://schemas.openxmlformats.org/spreadsheetml/2006/main" count="878" uniqueCount="411">
  <si>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</si>
  <si>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</si>
  <si>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</si>
  <si>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</si>
  <si>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</si>
  <si>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</si>
  <si>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</si>
  <si>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LABOR
HOURS</t>
  </si>
  <si>
    <t>GENERAL REQUIREMENTS</t>
  </si>
  <si>
    <t>EXISTING CONDITIONS</t>
  </si>
  <si>
    <t>CONCRETE</t>
  </si>
  <si>
    <t>MASONRY</t>
  </si>
  <si>
    <t>WOOD, PLASTICS AND COMPOSITES</t>
  </si>
  <si>
    <t>THERMAL AND MOISTURE PROTECTION</t>
  </si>
  <si>
    <t>OPENINGS</t>
  </si>
  <si>
    <t>FINISHES</t>
  </si>
  <si>
    <t>TOTAL COST</t>
  </si>
  <si>
    <t>UNIT PRICE</t>
  </si>
  <si>
    <t>LABOR</t>
  </si>
  <si>
    <t>MATERIAL</t>
  </si>
  <si>
    <t xml:space="preserve">QUANTITY </t>
  </si>
  <si>
    <t>UNIT LABOR HOUR</t>
  </si>
  <si>
    <t>PLUMBING</t>
  </si>
  <si>
    <t>ELECTRICAL</t>
  </si>
  <si>
    <t>EARTHWORK</t>
  </si>
  <si>
    <t>EXTERIOR IMPROVEMENTS</t>
  </si>
  <si>
    <t>PROJECT LOCATION</t>
  </si>
  <si>
    <t>HEATING, VENTILATION AND AIR CONDITIONING (HVAC)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</si>
  <si>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</si>
  <si>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</si>
  <si>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</si>
  <si>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</si>
  <si>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</si>
  <si>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</si>
  <si>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</si>
  <si>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</si>
  <si>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</si>
  <si>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</si>
  <si>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MAT. FAC.</t>
  </si>
  <si>
    <t>LAB. FAC.</t>
  </si>
  <si>
    <t>OVERHEAD &amp; PROFIT</t>
  </si>
  <si>
    <t>TOTAL MANHOURS</t>
  </si>
  <si>
    <t>DIV. 01</t>
  </si>
  <si>
    <t>DIV. 02</t>
  </si>
  <si>
    <t>DIV. 03</t>
  </si>
  <si>
    <t>DIV. 04</t>
  </si>
  <si>
    <t>DIV. 06</t>
  </si>
  <si>
    <t>DIV. 07</t>
  </si>
  <si>
    <t>DIV. 08</t>
  </si>
  <si>
    <t>DIV. 09</t>
  </si>
  <si>
    <t>DIV. 12</t>
  </si>
  <si>
    <t>DIV. 22</t>
  </si>
  <si>
    <t>DIV. 23</t>
  </si>
  <si>
    <t>DIV. 26</t>
  </si>
  <si>
    <t>DIV. 31</t>
  </si>
  <si>
    <t>DIV. 32</t>
  </si>
  <si>
    <t>DWG REF./
CSI SEC.</t>
  </si>
  <si>
    <t>CREW</t>
  </si>
  <si>
    <t>LABOR RATE</t>
  </si>
  <si>
    <t>PROJECT NAME</t>
  </si>
  <si>
    <t>LS</t>
  </si>
  <si>
    <t>SUBTOTAL MATERIAL</t>
  </si>
  <si>
    <t>SUBTOTAL LABOR</t>
  </si>
  <si>
    <t>FURNISHINGS</t>
  </si>
  <si>
    <t>SUMMARY</t>
  </si>
  <si>
    <t>TOTAL PROJECT COST</t>
  </si>
  <si>
    <t>TRADE
TOTAL W/ S.TAX, O&amp;P</t>
  </si>
  <si>
    <t>CSI DIV.</t>
  </si>
  <si>
    <t>DESCRIPTION</t>
  </si>
  <si>
    <t>MATERIAL COST</t>
  </si>
  <si>
    <t>LABOR
COST</t>
  </si>
  <si>
    <t>TOTAL
COST</t>
  </si>
  <si>
    <t>LINE NO.</t>
  </si>
  <si>
    <t>SF</t>
  </si>
  <si>
    <t>CY</t>
  </si>
  <si>
    <t>INFILL</t>
  </si>
  <si>
    <t>INFILL EXISTING MASONRY WALL OPENINGS TO MATCH EXISITNG</t>
  </si>
  <si>
    <t>RISERS</t>
  </si>
  <si>
    <t>LF</t>
  </si>
  <si>
    <t>WALL FRAMING</t>
  </si>
  <si>
    <t>STUDS</t>
  </si>
  <si>
    <t>TOP PLATES</t>
  </si>
  <si>
    <t xml:space="preserve">2X4 TOP WOOD PLATES </t>
  </si>
  <si>
    <t>BOTTOM PLATES</t>
  </si>
  <si>
    <t xml:space="preserve">2X4 BOTTOM WOOD PLATES </t>
  </si>
  <si>
    <t>INTERIOR TRIM</t>
  </si>
  <si>
    <t>INTERIOR TRIM AT DOORS</t>
  </si>
  <si>
    <t>INTERIOR TRIM AT WINDOWS</t>
  </si>
  <si>
    <t>SEALANT</t>
  </si>
  <si>
    <t>CONTINUOUS SEALANT AT WALLS</t>
  </si>
  <si>
    <t>CONTINUOUS SEALANT AT DOORS</t>
  </si>
  <si>
    <t>CONTINUOUS SEALANT AT WINDOWS</t>
  </si>
  <si>
    <t>INSULATION</t>
  </si>
  <si>
    <t>EXTERIOR TRIM</t>
  </si>
  <si>
    <t>EXTERIOR TRIM AT DOORS</t>
  </si>
  <si>
    <t>EXTERIOR TRIM AT WINDOWS</t>
  </si>
  <si>
    <t>EA</t>
  </si>
  <si>
    <t>FLASHING</t>
  </si>
  <si>
    <t>STEP FLASHING</t>
  </si>
  <si>
    <t>DOORS</t>
  </si>
  <si>
    <t>EXTERIOR DOOR</t>
  </si>
  <si>
    <t>INTERIOR DOOR</t>
  </si>
  <si>
    <t>HARDWARE</t>
  </si>
  <si>
    <t>ALLOWANCE PROVIDED FOR EXTERIOR DOORS HARDWARE</t>
  </si>
  <si>
    <t>ALLOWANCE PROVIDED FOR INTERIOR DOORS HARDWARE</t>
  </si>
  <si>
    <t>WINDOWS</t>
  </si>
  <si>
    <t>FLOORING</t>
  </si>
  <si>
    <t>BASE</t>
  </si>
  <si>
    <t>GYPSUM BOARD</t>
  </si>
  <si>
    <t xml:space="preserve">WALLS </t>
  </si>
  <si>
    <t>NO. OF SHEETS</t>
  </si>
  <si>
    <t xml:space="preserve">ADHESIVE </t>
  </si>
  <si>
    <t>TUBES</t>
  </si>
  <si>
    <t>ROLLS</t>
  </si>
  <si>
    <t>DRYWALL SCREWS</t>
  </si>
  <si>
    <t>LBS</t>
  </si>
  <si>
    <t>MUD PLASTER</t>
  </si>
  <si>
    <t xml:space="preserve">CEILING </t>
  </si>
  <si>
    <t>PAINT</t>
  </si>
  <si>
    <t>COUNTERTOP</t>
  </si>
  <si>
    <t>BACKSPLASH</t>
  </si>
  <si>
    <t>PLUMBING FIXTURES</t>
  </si>
  <si>
    <t>LIGHTING FIXTURES</t>
  </si>
  <si>
    <t>EXCAVATION</t>
  </si>
  <si>
    <t>EXCAVATION PROVIDED FOR FOOTING</t>
  </si>
  <si>
    <t>BACKFILL</t>
  </si>
  <si>
    <t>BACKFILL PROVIDED FOR FOOTING</t>
  </si>
  <si>
    <t>HAULOFF/IMPORT</t>
  </si>
  <si>
    <t>HAULING OFF EXTRA MATERIAL</t>
  </si>
  <si>
    <t>PAVEMENT</t>
  </si>
  <si>
    <t>FOOTING</t>
  </si>
  <si>
    <t>FORMWORK</t>
  </si>
  <si>
    <t>FORMWORK REQUIRED</t>
  </si>
  <si>
    <t>SLAB ON GRADE</t>
  </si>
  <si>
    <t>DEMOLITION</t>
  </si>
  <si>
    <t>UNDERLAYMENT</t>
  </si>
  <si>
    <t>GUTTER &amp; DOWNSPOUT</t>
  </si>
  <si>
    <t>PREFINISHED ALUMINUM GUTTER</t>
  </si>
  <si>
    <t>PREFINISHED ALUMINUM DOWNSPOUT</t>
  </si>
  <si>
    <t>ROOF LINES</t>
  </si>
  <si>
    <t>RIDGE LINE</t>
  </si>
  <si>
    <t>VALLEY LINE</t>
  </si>
  <si>
    <t>ROOFING ASSEMBLY</t>
  </si>
  <si>
    <t>DRIP EDGE FLASHING</t>
  </si>
  <si>
    <t>BASE CABINET</t>
  </si>
  <si>
    <t>CLOSET</t>
  </si>
  <si>
    <t>SOFFIT &amp; FASCIA</t>
  </si>
  <si>
    <t>2'-0"D BASE CABINET</t>
  </si>
  <si>
    <t>UPPER  CABINET</t>
  </si>
  <si>
    <t>1'-0"D UPPER CABINET</t>
  </si>
  <si>
    <t>KITCHEN ISLAND</t>
  </si>
  <si>
    <t>1'-0" D CLOSET W/ ROD AND SHELVES</t>
  </si>
  <si>
    <t>WIRING</t>
  </si>
  <si>
    <t>SWITCHES</t>
  </si>
  <si>
    <t>EXTERIOR  FNISHES</t>
  </si>
  <si>
    <t>TRIM</t>
  </si>
  <si>
    <t>TAPING</t>
  </si>
  <si>
    <t>REMOVE EXISTING WINDOWS</t>
  </si>
  <si>
    <t>REMOVE EXISTING STAIRS</t>
  </si>
  <si>
    <t>REMOVE EXISTING DECK</t>
  </si>
  <si>
    <t>REMOVE EXISTING RAILING</t>
  </si>
  <si>
    <t>REMOVE EXISTING CONCRETE STAIR</t>
  </si>
  <si>
    <t>REMOVE EXISTING EXTERIOR WALL W/ ITS FINISHES</t>
  </si>
  <si>
    <t>REMOVE EXISTING DOOR</t>
  </si>
  <si>
    <t xml:space="preserve">4" THK. CONCRETE SLAB ON GRADE (3500 PSI) W/ 6x6 10x10 WWF OVER 4" CRUSHED STONE BASE COURSE, 6 MIL POLYETHYLENE VAPOR RETARDER </t>
  </si>
  <si>
    <t>1'-4"W x 8"D CONTINUOUS FOOTING W/ (2) #5 BARS</t>
  </si>
  <si>
    <t>1'-0"W x 8"D CONTINUOUS FOOTING</t>
  </si>
  <si>
    <t>CONTINUOUS FOOTING</t>
  </si>
  <si>
    <t>ISOLATED FOOTING</t>
  </si>
  <si>
    <t>1'-6"DIA x 3'-6"D CONCRETE ISOLATED FOOTING OVER 4" CRUSHED GRAVEL</t>
  </si>
  <si>
    <t>CONCRETE WALL</t>
  </si>
  <si>
    <t xml:space="preserve">8" THK. CONCRETE FOUNDATION WALL W/ #4 @ 12" O.C. &amp; #6 @ 36" O.C. VERTICAL BARS </t>
  </si>
  <si>
    <t>DAMP-PROOFING MEMBRANE AT CONCRETE WALLS</t>
  </si>
  <si>
    <t>2" XPS RIGID INSULATION(R-10) AT CONCRETE WALLS</t>
  </si>
  <si>
    <t>DAMP-PROOFING</t>
  </si>
  <si>
    <t>PROTECTION</t>
  </si>
  <si>
    <t>PROTECTIVE COVERING AT CONCRETE WALLS</t>
  </si>
  <si>
    <t>HEADER &amp; BEAM</t>
  </si>
  <si>
    <t>(2) 1-3/4" x 9-1/2" 2.0E MICROLAM HEADER</t>
  </si>
  <si>
    <t>(2) 1-3/4" x 11-1/4" 2.0E MICROLAM DROP BEAM</t>
  </si>
  <si>
    <t>(2) 2x8 BEAM</t>
  </si>
  <si>
    <t>(2) 2x12 HEADER</t>
  </si>
  <si>
    <t>(2) 2x12 P.T DROP WOOD BEAM</t>
  </si>
  <si>
    <t>(3) 1-3/4" x 18" 2.0E MICROLLAM DROP BEAM</t>
  </si>
  <si>
    <t>(2) 1-3/4" x 9-1/2" 2.0E MICROLAM FLUSH RAFTER BEAM</t>
  </si>
  <si>
    <t>(2) 1-3/4" x 11-7/8" 2.0E MICROLAM RIDGE BEAM W/ METAL RIDGE STRAP &amp; HANGER</t>
  </si>
  <si>
    <t>(2) 1-3/4" x 18" 2.0E MICROLAM RIDGE BEAM W/ METAL RIDGE STRAP &amp; HANGER</t>
  </si>
  <si>
    <t>(2) 1-3/4" x 20" 2.0E MICROLAM RIDGE BEAM W/ METAL RIDGE STRAP &amp; HANGER</t>
  </si>
  <si>
    <t>(2) 2x12 RIDGE BEAM W/ METAL RIDGE STRAP &amp; HANGER</t>
  </si>
  <si>
    <t>SILL PLATE</t>
  </si>
  <si>
    <t>2x6 P.T SILL PLATE W/ 5/8" DIAx14" ANCHOR BOLTS @ 6'-0" O.C.</t>
  </si>
  <si>
    <t>STUD &amp; POST</t>
  </si>
  <si>
    <t>(2) 2x4 JACK STUD 
NO. OF STUS @ 2'-1" HT: 4
NO. OF STUS @ 6'-8" HT: 39</t>
  </si>
  <si>
    <t>(3) 2x4 JACK STUD 
NO. OF STUD @ 7'-0" HT: 4
NO. OF STUD @ 10'-9" HT: 4</t>
  </si>
  <si>
    <t>(3) 2x6 JACK STUD 
NO. OF STUS @ 3'-6" HT: 2
NO. OF STUS @ 5'-0" HT: 1
NO. OF STUS @ 6'-8" HT: 1</t>
  </si>
  <si>
    <t>4x6 JACK STUD 
NO. OF STUD@ 6'-8" HT: 4</t>
  </si>
  <si>
    <t>5-1/4" x 3-1/2" 1.8E PARALLAM PSL POST 
NO. OF POST @ 1'-0" HT: 2
NO. OF POST @ 6'-4" HT: 1
NO. OF POST @ 8'-1" HT: 1</t>
  </si>
  <si>
    <t>5-1/4" x 7" 1.8E PARALLAM PSL POST 
NO. OF POST @ 3'-6" HT: 1
NO. OF POST @ 8'-1" HT: 2</t>
  </si>
  <si>
    <t>6x6 P.T POST 
NO. OF POST @ 2'-6" HT: 8
NO. OF POST @ 3'-0" HT: 12</t>
  </si>
  <si>
    <t>6x6 P.T PVC ENCASED POST 
NO. OF POST @ 7'-9" HT: 6</t>
  </si>
  <si>
    <t>HOLDOWN</t>
  </si>
  <si>
    <t>HD: HOLDOWN</t>
  </si>
  <si>
    <t>COLLAR TIES</t>
  </si>
  <si>
    <t>2x4 COLLAR TIES @ 48" O.C.</t>
  </si>
  <si>
    <t>RAFTER</t>
  </si>
  <si>
    <t xml:space="preserve">(2) 2x10 FLUSH RAFTER </t>
  </si>
  <si>
    <t>JOISTS</t>
  </si>
  <si>
    <t xml:space="preserve">2x8 ROOF JOISTS @ 16" O.C. </t>
  </si>
  <si>
    <t xml:space="preserve">2x10 ROOF JOISTS @ 16" O.C. </t>
  </si>
  <si>
    <t>(2) 2x8 P.T DECK JOIST</t>
  </si>
  <si>
    <t>(2) 2x10 CEILING JOIST</t>
  </si>
  <si>
    <t>2x8 CEILING JOISTS @ 16" O.C.</t>
  </si>
  <si>
    <t>2x8 P.T DECK JOISTS @ 16" O.C.</t>
  </si>
  <si>
    <t xml:space="preserve">2x10 CEILING JOISTS @ 16" O.C. </t>
  </si>
  <si>
    <t>LEDGER BOARD</t>
  </si>
  <si>
    <t>2x12 P.T LEDGER BOARD</t>
  </si>
  <si>
    <t>SHEATHING</t>
  </si>
  <si>
    <t>1/2" CDX PLYWOOD SHEATHING AT GARAGE CEILING</t>
  </si>
  <si>
    <t>R-38C ECOTOUCH BATT INSULATION AT GARAGE CEILING</t>
  </si>
  <si>
    <t>ADJUST</t>
  </si>
  <si>
    <t>ADJUST EXISTING ROOF FRAMING</t>
  </si>
  <si>
    <t>1/2" CDX PLYWOOD SHEATHING AT ROOF</t>
  </si>
  <si>
    <t xml:space="preserve">TAR PAPER UNDERLAYMENT </t>
  </si>
  <si>
    <t>PREFABRICATED EAVE BAFFLE ICE &amp; WATER SHIELD</t>
  </si>
  <si>
    <t>VINYL VENTED PVC SOFFIT</t>
  </si>
  <si>
    <t>R-30C ECOTOUCH BATT INSULATION AT ROOF</t>
  </si>
  <si>
    <t>REMOVE EXISTING ROOFING IN ITS ENTIRETY</t>
  </si>
  <si>
    <t>REMOVE EXISTING FLOORING</t>
  </si>
  <si>
    <t>REMOVE EXISTING CEILING</t>
  </si>
  <si>
    <t>REMOVE EXISTING SIDING</t>
  </si>
  <si>
    <t>2x10 VALLEY BEAM</t>
  </si>
  <si>
    <t xml:space="preserve">(2) 2x10 VALLEY BEAM </t>
  </si>
  <si>
    <t>LANDSCAPING</t>
  </si>
  <si>
    <t>LANDSCAPING MATERIALS</t>
  </si>
  <si>
    <t>TREES</t>
  </si>
  <si>
    <t>NEW TREES, NO DETAIL GIVEN</t>
  </si>
  <si>
    <t>2" MULCHING, ASSUMED</t>
  </si>
  <si>
    <t>BARRIER</t>
  </si>
  <si>
    <t>CURB</t>
  </si>
  <si>
    <r>
      <t xml:space="preserve">ASPHALT PAVEMENT, </t>
    </r>
    <r>
      <rPr>
        <b/>
        <sz val="10"/>
        <rFont val="Calibri"/>
        <family val="2"/>
        <scheme val="minor"/>
      </rPr>
      <t>ASSUMED</t>
    </r>
    <r>
      <rPr>
        <sz val="10"/>
        <rFont val="Calibri"/>
        <family val="2"/>
        <scheme val="minor"/>
      </rPr>
      <t xml:space="preserve">
2" HMA (HOT MIX ASPHALT) PAVEMENT
-4" THK. CSTC (CRUSHED SURFACE TOP COURSE)
-6" CSBC (CRUSHED SURFACE BASE COURSE) AND COMPACTED SUBGRADE.</t>
    </r>
  </si>
  <si>
    <r>
      <t xml:space="preserve">6''THK X 6''D W/ 6'' EMBEDMENT, PROPOSED CONCRETE CURB W/ #4 CONT BARS AND #4 BARS AT 18'' O.C., </t>
    </r>
    <r>
      <rPr>
        <b/>
        <sz val="10"/>
        <rFont val="Calibri"/>
        <family val="2"/>
        <scheme val="minor"/>
      </rPr>
      <t>ASSUMED</t>
    </r>
  </si>
  <si>
    <t>A030</t>
  </si>
  <si>
    <t>STAIRS</t>
  </si>
  <si>
    <t>INTERIOR STAIRS</t>
  </si>
  <si>
    <t>EXTERIOR STAIRS</t>
  </si>
  <si>
    <t xml:space="preserve">4'-4'' W WOODEN STAIR
RISER HEIGHT = 7-1/2'' </t>
  </si>
  <si>
    <t xml:space="preserve">4'-4'' W x 10"D WOODEN STAIR </t>
  </si>
  <si>
    <t>TREADS</t>
  </si>
  <si>
    <t>36"H 1-1/4'' DIA PAINTED STEEL GUARDRAIL</t>
  </si>
  <si>
    <t>2x12 WOOD STRINGERS</t>
  </si>
  <si>
    <t xml:space="preserve">4'-6'' W COMPOSITE WOODEN STAIR
RISER HEIGHT = 7-1/2'' </t>
  </si>
  <si>
    <t xml:space="preserve">5'-0'' W COMPOSITE WOODEN STAIR
RISER HEIGHT = 7-1/2'' </t>
  </si>
  <si>
    <t xml:space="preserve">7'-0'' W COMPOSITE WOODEN STAIR
RISER HEIGHT = 7-1/2'' </t>
  </si>
  <si>
    <t>4'-6'' W x 1'-0"D COMPOSITE WOODEN STAIR</t>
  </si>
  <si>
    <t>5'-0'' W x 1'-0"D COMPOSITE WOODEN STAIR</t>
  </si>
  <si>
    <t>7'-0'' W x 1'-0"D COMPOSITE WOODEN STAIR</t>
  </si>
  <si>
    <t>36"H CABLE RAILING W/ 
- 3/4" SQUARE PICKET AT MIDSPAN BETWEEN POSTS
- 2-3/8" SQUARE POST
- SERIES 200 TOP RAIL, #8 x 3/4" SELF TAPPING</t>
  </si>
  <si>
    <t>1x2 OVER 1x8 FREE FOAM PVC FASCIA BOARD, AZEK OR EQUAL</t>
  </si>
  <si>
    <t>NEW SHRUBS, NO DETAIL GIVEN</t>
  </si>
  <si>
    <t>SHRUBS</t>
  </si>
  <si>
    <t>COMPLETE SCOPE OF WORK</t>
  </si>
  <si>
    <t>733 RTE 340 PALISADES, NY 10964</t>
  </si>
  <si>
    <t>STANDING SEAM METAL ROOFING SYSTEM, DESIGN TO BE ATAS DUTCH SEAM MRD194</t>
  </si>
  <si>
    <t>PATCH &amp; REPAIR</t>
  </si>
  <si>
    <t>PATCH &amp; REAPIR EXISTING WALLS</t>
  </si>
  <si>
    <t>PATCH &amp; REAPIR EXISTING FLOORING</t>
  </si>
  <si>
    <t>PATCH &amp; REAPIR EXISTING CEILING</t>
  </si>
  <si>
    <t>A100 - A102</t>
  </si>
  <si>
    <t>A102</t>
  </si>
  <si>
    <t>A101</t>
  </si>
  <si>
    <t>A100</t>
  </si>
  <si>
    <t>A100 - A201</t>
  </si>
  <si>
    <t>E110</t>
  </si>
  <si>
    <t>REMOVE EXISTING LIGHTING FIXTURES</t>
  </si>
  <si>
    <t>REMOVE EXISTING RECEPTACLES</t>
  </si>
  <si>
    <t>REMOVE EXISTING SWITCHES</t>
  </si>
  <si>
    <t>REMOVE EXISTING DETECTORS</t>
  </si>
  <si>
    <t>DEMOLITION AS PER NOTES</t>
  </si>
  <si>
    <t>A101,A102</t>
  </si>
  <si>
    <t>REMOVE EXISTING WATER CLOSET</t>
  </si>
  <si>
    <t>REMOVE EXISTING  LAVATORY COUNTER MOUNTED</t>
  </si>
  <si>
    <t>REMOVE EXISTING  LAVATORY WALL MOUNTED</t>
  </si>
  <si>
    <t>REMOVE EXISTING  5'-0" X 2'-6" BATH TUB</t>
  </si>
  <si>
    <t>REMOVE EXISTING KITCHEN SINK</t>
  </si>
  <si>
    <t>REMOVE EXISTING 2'-0"D BASE CABINET</t>
  </si>
  <si>
    <t>REMOVE EXISTING 1'-0"D UPPER CABINET</t>
  </si>
  <si>
    <t>REMOVE EXISTING 1'-3"W X 2'-6"DEEP 7'-0"HT PANTRY CABINET</t>
  </si>
  <si>
    <t>2X4 WOOD STUDS @ 16" O.C. 
NO. OF STUDS @ 6'-4" HT: 25
NO. OF STUDS @ 7'-6" HT: 47
NO. OF STUDS @ 8'-0" HT: 4
NO. OF STUDS @ 8'-3" HT: 17
NO. OF STUDS @ 9'-0" HT: 58</t>
  </si>
  <si>
    <t>NOTE: ALL STUDS TO BE DOUGLAS FIR</t>
  </si>
  <si>
    <t>BALLOON FRAMING</t>
  </si>
  <si>
    <t xml:space="preserve">2X4 WOOD STUDS @ 16" O.C. </t>
  </si>
  <si>
    <t>1/2" CDX SHEATHING AT WALLS</t>
  </si>
  <si>
    <t>PANTRY CABINET</t>
  </si>
  <si>
    <t>1'-3"W X 2'-6"DEEP 7'-0"HT PANTRY CABINET</t>
  </si>
  <si>
    <r>
      <t>FINISH CARPENTRY &amp; MILLWORK,</t>
    </r>
    <r>
      <rPr>
        <b/>
        <sz val="10"/>
        <color rgb="FFFF0000"/>
        <rFont val="Calibri"/>
        <family val="2"/>
        <scheme val="minor"/>
      </rPr>
      <t xml:space="preserve"> AS PER NOTES</t>
    </r>
  </si>
  <si>
    <t>R-15 BATT INSULATION AT WALL</t>
  </si>
  <si>
    <t>R-5, 1"THK XPS RIGID INSULATION AT WALL</t>
  </si>
  <si>
    <t>SIDING / CLADING</t>
  </si>
  <si>
    <t xml:space="preserve">1 X2 BOARD &amp; BATTEN CLADDING SLECTED BY OWNER W/ AIR MOISTURE RESISTANT BARRIER
MFR: AZEK
FINISH:  SLECTED BY OWNER </t>
  </si>
  <si>
    <t>PVC "J" CHANNEL TRIM AT TERMINATIONS</t>
  </si>
  <si>
    <t>CORNER TRIM</t>
  </si>
  <si>
    <t>2'-0" X 6'-8"H X 1-3/4"THK WOOD SWING DOOR W/ WOOD FRAME
MFR/MODEL: TRUSTILE TS SERIES TS5000 (5PANEL)</t>
  </si>
  <si>
    <t>2'-6" X 6'-8"H X 1-3/4"THK WOOD SWING DOOR W/ WOOD FRAME</t>
  </si>
  <si>
    <t>2'-0" X 2'-0"H X 1-3/8"THK DOOR W/ FRAME THRU-WALL ACCESS HATCH TO ATTIC
MFR/MODEL: TRUSTILE TS SERIES TS5000 (5PANEL)</t>
  </si>
  <si>
    <t>F: 3'-0" X 6'-8"H X 1-3/4"THK MDF/WOOD DOOR W/ WOOD FRAME, 20-MINUTE FIRE-RATED W/ SELF CLOSING EQUIPMENT
MFR/MODEL: TRUSTILE T5 SERIES TS500 (5PANEL) IN MDF</t>
  </si>
  <si>
    <t>E: 2'-8" X 6'-8"H X 1-3/4"THK WOOD GLASS SWING DOOR W/ WOOD FRAME
MFR/MODEL: ANDERSEN INSWING RESIDENTIAL ENTRY DOORS</t>
  </si>
  <si>
    <t>E: 3'-0" X 6'-8"H X 1-3/4"THK  WOOD GLASS  SWING DOOR W/ WOOD FRAME
MFR/MODEL: ANDERSEN INSWING RESIDENTIAL ENTRY DOORS</t>
  </si>
  <si>
    <t>NOTE: STYLE AS SPECIFIED BY OWNER</t>
  </si>
  <si>
    <t>GARAGE DOOR</t>
  </si>
  <si>
    <t>9'-0" X 7'-0"H GARAGE DOOR W/ FRAME
MFR: AMARR HILLCREST OR EQUAL</t>
  </si>
  <si>
    <t>ALLOWANCE PROVIDED FOR GARAGE DOORS HARDWARE</t>
  </si>
  <si>
    <t>ACCESS OPENINGS</t>
  </si>
  <si>
    <t>5'-6" X 2'-1" ATTIC HATCH W/  12'-0" ALUMINUM DROP DOWN ATTIC LADDER</t>
  </si>
  <si>
    <t>C: 3'-0"W X 5'-0"H CASEMENT WINDOW, LOW - E4 GLAZING
MFR/MODEL: ANDERSEN 400 SERIES</t>
  </si>
  <si>
    <t>P: 2'-0"W X 2'-0"H FIXED PICTURE WINDOW, LOW - E4 GLAZING
MFR/MODEL: ANDERSEN 400 SERIES</t>
  </si>
  <si>
    <t>P: 2'-6"W X 5'-0"H FIXED PICTURE WINDOW, LOW - E4 GLAZING
MFR/MODEL: ANDERSEN 400 SERIES</t>
  </si>
  <si>
    <t>P: 3'-0" X 5'-0"H FIXED PICTURE WINDOW, LOW - E4 GLAZING
MFR/MODEL: ANDERSEN 400 SERIES</t>
  </si>
  <si>
    <t>TW: 2'-0"W X 3'-0"H DOUBLE HUNG WINDOW, LOW - E4 GLAZING
MFR: /MODEL: ANDERSEN 400 SERIES TILT WASH</t>
  </si>
  <si>
    <t>TW: 2'-6"W X 3'-0"H DOUBLE HUNG WINDOW, LOW - E4 GLAZING
MFR: /MODEL: ANDERSEN 400 SERIES TILT WASH</t>
  </si>
  <si>
    <t>TW: 2'-6"W X 4'-0"H DOUBLE HUNG WINDOW, LOW - E4 GLAZING
MFR: /MODEL: ANDERSEN 400 SERIES TILT WASH</t>
  </si>
  <si>
    <t>TW: 3'-0" X 3'-0"H DOUBLE HUNG WINDOW, LOW - E4 GLAZING
MFR: /MODEL: ANDERSEN 400 SERIES TILT WASH</t>
  </si>
  <si>
    <t>TW: 5'-0"W X 3'-9"H DOUBLE HUNG WINDOW, LOW - E4 GLAZING
MFR: /MODEL: ANDERSEN 400 SERIES TILT WASH</t>
  </si>
  <si>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
1- ALL WINDOW ASSEMBLIES TO BE FACTORY MULLED
2- ALL OPERABLE WINDOWS TO HAVE INSECT SCREEN INCLUDED</t>
    </r>
  </si>
  <si>
    <t>DECK</t>
  </si>
  <si>
    <t>OUTDOOR COMPOSITE DECK</t>
  </si>
  <si>
    <t>A101, A102</t>
  </si>
  <si>
    <t>CARPET FLOORING</t>
  </si>
  <si>
    <t>SEALED CONCRETE FLOORING</t>
  </si>
  <si>
    <t>4"H WOOD BASE</t>
  </si>
  <si>
    <t>1/2" THK. MOISTER BOARD TYPE" X " GYPSUM BOARD AT WALLS</t>
  </si>
  <si>
    <t>(1) LAYER 5/8" TYPE "X" GYPSUM BOARD AT EXISTING WALL</t>
  </si>
  <si>
    <t xml:space="preserve">1/2" THK. MOISTURE BOARD AT WALLS </t>
  </si>
  <si>
    <t>1/2" THK. MOISTURE RESISTANT GYPSUM BOARD AT CEILING</t>
  </si>
  <si>
    <t xml:space="preserve">1/2" THK. MOISTURE RESISTANT GYPSUM BOARD TYPE"X" AT CEILING </t>
  </si>
  <si>
    <t>1/2" THK. MOISTURE RESISTANT GYPSUM BOARD  AT VAULTED CEILING</t>
  </si>
  <si>
    <t>PAINT AT NEWWALLS
ONE COAT OF PRIMER WITH TWO COATS OF PAINT AT WALLS</t>
  </si>
  <si>
    <t>ONE COAT OF PRIMER WITH TWO COATS OF PAINT AT CEILNG</t>
  </si>
  <si>
    <t>4"H RUBBER BASE</t>
  </si>
  <si>
    <t>WATER CLOSET</t>
  </si>
  <si>
    <t>LAVATORY COUNTER MOUNTED</t>
  </si>
  <si>
    <t>LAVATORY WALL MOUNTED</t>
  </si>
  <si>
    <t>5'-0" X 2'-6" BATH TUB</t>
  </si>
  <si>
    <t>KITCHEN SINK</t>
  </si>
  <si>
    <r>
      <t xml:space="preserve">NOTE: PLUMBING FIXTURE SHALL BE SLECTRED BY OWNER, </t>
    </r>
    <r>
      <rPr>
        <b/>
        <sz val="10"/>
        <color rgb="FFFF0000"/>
        <rFont val="Calibri"/>
        <family val="2"/>
        <scheme val="minor"/>
      </rPr>
      <t>AS PER NOTES</t>
    </r>
  </si>
  <si>
    <r>
      <t>SOLID SURFACE COUNTERTOP AT KITCHEN</t>
    </r>
    <r>
      <rPr>
        <b/>
        <sz val="10"/>
        <color rgb="FFFF0000"/>
        <rFont val="Calibri"/>
        <family val="2"/>
        <scheme val="minor"/>
      </rPr>
      <t>, AS PER NOTES</t>
    </r>
  </si>
  <si>
    <r>
      <t>4"H BACKSPLASH AT KITCHEN</t>
    </r>
    <r>
      <rPr>
        <b/>
        <sz val="10"/>
        <color rgb="FFFF0000"/>
        <rFont val="Calibri"/>
        <family val="2"/>
        <scheme val="minor"/>
      </rPr>
      <t>, AS PER NOTES</t>
    </r>
  </si>
  <si>
    <r>
      <t>8'-0" x 6'-6" KITCHEN ISLAND</t>
    </r>
    <r>
      <rPr>
        <b/>
        <sz val="10"/>
        <color rgb="FFFF0000"/>
        <rFont val="Calibri"/>
        <family val="2"/>
        <scheme val="minor"/>
      </rPr>
      <t>, AS PER NOTES</t>
    </r>
  </si>
  <si>
    <t>HVAC</t>
  </si>
  <si>
    <r>
      <t xml:space="preserve">ALLOWANCE PROVIDE FOR  HVAC AS REQUIRED
</t>
    </r>
    <r>
      <rPr>
        <b/>
        <sz val="10"/>
        <rFont val="Calibri"/>
        <family val="2"/>
        <scheme val="minor"/>
      </rPr>
      <t>AREA:</t>
    </r>
    <r>
      <rPr>
        <sz val="10"/>
        <rFont val="Calibri"/>
        <family val="2"/>
        <scheme val="minor"/>
      </rPr>
      <t xml:space="preserve">  2438 SF</t>
    </r>
  </si>
  <si>
    <t>A110</t>
  </si>
  <si>
    <t>4" FIXED LED DOWNLIGHT</t>
  </si>
  <si>
    <t>PENDANT (TO BE SELECTED BY OWNER)</t>
  </si>
  <si>
    <t>LED FIXTURE WALL SCONE/VANITY LIGHT</t>
  </si>
  <si>
    <t>LED FIXTURE WALL SCONE EXTERIOR</t>
  </si>
  <si>
    <t>COMBINATION LIGHT / EXHAUST FAN (FIXTURE TO BE SELECTED BY OWNER)</t>
  </si>
  <si>
    <t>RECEPTACLE OUTLETS</t>
  </si>
  <si>
    <t>DUPLEX RECEPTACLE</t>
  </si>
  <si>
    <t>QUAD RECEPTACLE</t>
  </si>
  <si>
    <t>WR: TAMPER/WEATHER RESISTANT GFI RECEPTACLE W/ COVER</t>
  </si>
  <si>
    <t>TV: CABLE HOOK-UP</t>
  </si>
  <si>
    <t>SINGLE POLE SWITCH WALL MOUNTED</t>
  </si>
  <si>
    <t>SINGLE POLE SWITCH CEILING MOUNTED</t>
  </si>
  <si>
    <t>3-WAY SWITCH</t>
  </si>
  <si>
    <t>3-WAY GARAGE DOOR SWITCH</t>
  </si>
  <si>
    <t>CEILING MOUNTED GARAGE DOOR OPENER AND RAILINGS</t>
  </si>
  <si>
    <t>PANEL BOARD</t>
  </si>
  <si>
    <t>GARAGE SUB PANEL</t>
  </si>
  <si>
    <t>DETECTORS</t>
  </si>
  <si>
    <t>S/CO: COMBINATION SMOKE/CO DETECTOR</t>
  </si>
  <si>
    <t>H: HEAT DETECTOR RATED FOR AMBIENT _x000D_
OUTDOOR TEMPERATURES</t>
  </si>
  <si>
    <r>
      <t xml:space="preserve">ALLOWANCE PROVIDED FOR ELECTRICAL WIRING
</t>
    </r>
    <r>
      <rPr>
        <b/>
        <sz val="10"/>
        <rFont val="Calibri"/>
        <family val="2"/>
        <scheme val="minor"/>
      </rPr>
      <t>AREA:</t>
    </r>
    <r>
      <rPr>
        <sz val="10"/>
        <rFont val="Calibri"/>
        <family val="2"/>
        <scheme val="minor"/>
      </rPr>
      <t xml:space="preserve"> 2438 SF</t>
    </r>
  </si>
  <si>
    <t>NOTE: 
1-ALL FIXTURES TO BE DIMMABLE
2-COORDINATE FINAL LIGHT FIXTURE SELECTED BY OWNER/INTERIOR DECORATOR.</t>
  </si>
  <si>
    <t>GROSS AREA: 4100 SF</t>
  </si>
  <si>
    <r>
      <t xml:space="preserve">PAINT AT EXISTING WALLS
ONE COAT OF PRIMER WITH TWO COATS OF PAINT AT WALLS
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ALL EXISTING WALLS TO BE SCAR-PATCHED &amp; PREPARED TO RECEIVE NEW FINISHES</t>
    </r>
  </si>
  <si>
    <t>PERMITS</t>
  </si>
  <si>
    <t>SITE SUPERVISION</t>
  </si>
  <si>
    <t>FINAL CLEANUP</t>
  </si>
  <si>
    <t>DUMPSTER</t>
  </si>
  <si>
    <t>1 CLAB</t>
  </si>
  <si>
    <t>D-9</t>
  </si>
  <si>
    <t>1 TILF</t>
  </si>
  <si>
    <t>1 CARP</t>
  </si>
  <si>
    <t>C14G</t>
  </si>
  <si>
    <t>C14C</t>
  </si>
  <si>
    <t>C14H</t>
  </si>
  <si>
    <t>C14D</t>
  </si>
  <si>
    <t>2 CARP</t>
  </si>
  <si>
    <t>E-4</t>
  </si>
  <si>
    <t>C8</t>
  </si>
  <si>
    <t>2 SSWK</t>
  </si>
  <si>
    <t>1 BRIC</t>
  </si>
  <si>
    <t>F6</t>
  </si>
  <si>
    <t>BC</t>
  </si>
  <si>
    <t>1 SHEE</t>
  </si>
  <si>
    <t>1 ROFC</t>
  </si>
  <si>
    <t>R1</t>
  </si>
  <si>
    <t>2 ROFC</t>
  </si>
  <si>
    <t>G-3</t>
  </si>
  <si>
    <t>TILF</t>
  </si>
  <si>
    <t>C6</t>
  </si>
  <si>
    <t>1 PORD</t>
  </si>
  <si>
    <t>Q-1</t>
  </si>
  <si>
    <t>Q-5</t>
  </si>
  <si>
    <t>1 ELEC</t>
  </si>
  <si>
    <t>2 ELEC</t>
  </si>
  <si>
    <t>B-45</t>
  </si>
  <si>
    <t>C-2A</t>
  </si>
  <si>
    <t>B-17</t>
  </si>
  <si>
    <t>B-1</t>
  </si>
  <si>
    <r>
      <t xml:space="preserve">EVERGREEN NOISE BARRIER, </t>
    </r>
    <r>
      <rPr>
        <b/>
        <sz val="10"/>
        <rFont val="Calibri"/>
        <family val="2"/>
        <scheme val="minor"/>
      </rPr>
      <t xml:space="preserve">ASSUMED </t>
    </r>
    <r>
      <rPr>
        <sz val="10"/>
        <rFont val="Calibri"/>
        <family val="2"/>
        <scheme val="minor"/>
      </rPr>
      <t>HT: 5'-0"</t>
    </r>
  </si>
  <si>
    <t>GARAGE ADDITION AT RACINE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</si>
</sst>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0.000%"/>
    <numFmt numFmtId="167" formatCode="0.000"/>
    <numFmt numFmtId="168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4" fillId="0" borderId="0" xfId="3" applyFont="1" applyAlignment="1">
      <alignment horizontal="left" vertical="center"/>
    </xf>
    <xf numFmtId="8" fontId="4" fillId="0" borderId="0" xfId="3" applyNumberFormat="1" applyFont="1" applyAlignment="1">
      <alignment horizontal="center" vertical="center"/>
    </xf>
    <xf numFmtId="10" fontId="4" fillId="0" borderId="3" xfId="3" applyNumberFormat="1" applyFont="1" applyBorder="1" applyAlignment="1">
      <alignment vertical="center"/>
    </xf>
    <xf numFmtId="10" fontId="4" fillId="0" borderId="0" xfId="3" applyNumberFormat="1" applyFont="1" applyAlignment="1">
      <alignment horizontal="center" vertical="center"/>
    </xf>
    <xf numFmtId="166" fontId="4" fillId="0" borderId="3" xfId="3" applyNumberFormat="1" applyFont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8" fontId="5" fillId="3" borderId="3" xfId="2" applyFont="1" applyFill="1" applyBorder="1" applyAlignment="1" applyProtection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/>
    </xf>
    <xf numFmtId="2" fontId="4" fillId="2" borderId="3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38" fontId="5" fillId="3" borderId="3" xfId="3" applyNumberFormat="1" applyFont="1" applyFill="1" applyBorder="1" applyAlignment="1">
      <alignment horizontal="center" vertical="center" wrapText="1"/>
    </xf>
    <xf numFmtId="8" fontId="4" fillId="0" borderId="0" xfId="2" applyFont="1" applyAlignment="1" applyProtection="1">
      <alignment horizontal="center" vertical="center"/>
    </xf>
    <xf numFmtId="167" fontId="4" fillId="2" borderId="3" xfId="3" applyNumberFormat="1" applyFont="1" applyFill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8" fontId="4" fillId="0" borderId="3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8" fontId="9" fillId="4" borderId="3" xfId="2" applyFont="1" applyFill="1" applyBorder="1" applyAlignment="1" applyProtection="1">
      <alignment horizontal="center" vertical="center"/>
    </xf>
    <xf numFmtId="8" fontId="9" fillId="4" borderId="3" xfId="2" applyFont="1" applyFill="1" applyBorder="1" applyAlignment="1" applyProtection="1">
      <alignment horizontal="center" vertical="center" wrapText="1"/>
    </xf>
    <xf numFmtId="38" fontId="5" fillId="0" borderId="4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8" fontId="5" fillId="0" borderId="4" xfId="3" applyNumberFormat="1" applyFont="1" applyBorder="1" applyAlignment="1">
      <alignment horizontal="center" vertical="center"/>
    </xf>
    <xf numFmtId="8" fontId="5" fillId="0" borderId="4" xfId="2" applyFont="1" applyBorder="1" applyAlignment="1" applyProtection="1">
      <alignment horizontal="center" vertical="center"/>
    </xf>
    <xf numFmtId="7" fontId="5" fillId="0" borderId="4" xfId="1" applyNumberFormat="1" applyFont="1" applyBorder="1" applyAlignment="1" applyProtection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165" fontId="5" fillId="0" borderId="3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2" fontId="5" fillId="0" borderId="3" xfId="3" applyNumberFormat="1" applyFont="1" applyBorder="1" applyAlignment="1">
      <alignment horizontal="center" vertical="center"/>
    </xf>
    <xf numFmtId="44" fontId="5" fillId="0" borderId="10" xfId="4" applyFont="1" applyBorder="1" applyAlignment="1" applyProtection="1">
      <alignment horizontal="center" vertical="center"/>
    </xf>
    <xf numFmtId="165" fontId="5" fillId="3" borderId="3" xfId="3" applyNumberFormat="1" applyFont="1" applyFill="1" applyBorder="1" applyAlignment="1">
      <alignment horizontal="center" vertical="center"/>
    </xf>
    <xf numFmtId="38" fontId="4" fillId="0" borderId="3" xfId="3" applyNumberFormat="1" applyFont="1" applyBorder="1" applyAlignment="1">
      <alignment horizontal="center" vertical="center"/>
    </xf>
    <xf numFmtId="44" fontId="4" fillId="0" borderId="3" xfId="4" applyFont="1" applyFill="1" applyBorder="1" applyAlignment="1" applyProtection="1">
      <alignment horizontal="center" vertical="center"/>
    </xf>
    <xf numFmtId="8" fontId="4" fillId="0" borderId="0" xfId="2" applyFont="1" applyBorder="1" applyAlignment="1" applyProtection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38" fontId="4" fillId="0" borderId="3" xfId="3" applyNumberFormat="1" applyFont="1" applyBorder="1" applyAlignment="1">
      <alignment horizontal="center" vertical="center" wrapText="1"/>
    </xf>
    <xf numFmtId="165" fontId="5" fillId="3" borderId="3" xfId="4" applyNumberFormat="1" applyFont="1" applyFill="1" applyBorder="1" applyAlignment="1" applyProtection="1">
      <alignment horizontal="center" vertical="center"/>
    </xf>
    <xf numFmtId="0" fontId="5" fillId="3" borderId="3" xfId="5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 applyProtection="1">
      <alignment horizontal="center" vertical="center" wrapText="1"/>
    </xf>
    <xf numFmtId="44" fontId="4" fillId="0" borderId="3" xfId="4" applyFont="1" applyBorder="1" applyAlignment="1" applyProtection="1">
      <alignment horizontal="center" vertical="center" wrapText="1"/>
    </xf>
    <xf numFmtId="165" fontId="5" fillId="0" borderId="3" xfId="4" applyNumberFormat="1" applyFont="1" applyBorder="1" applyAlignment="1" applyProtection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 vertical="center"/>
    </xf>
    <xf numFmtId="0" fontId="4" fillId="0" borderId="15" xfId="3" applyFont="1" applyBorder="1" applyAlignment="1">
      <alignment vertical="center" wrapText="1"/>
    </xf>
    <xf numFmtId="0" fontId="4" fillId="0" borderId="13" xfId="3" applyFont="1" applyBorder="1" applyAlignment="1">
      <alignment vertical="center" wrapText="1"/>
    </xf>
    <xf numFmtId="38" fontId="4" fillId="0" borderId="5" xfId="3" applyNumberFormat="1" applyFont="1" applyBorder="1" applyAlignment="1">
      <alignment horizontal="center" vertical="center"/>
    </xf>
    <xf numFmtId="8" fontId="5" fillId="0" borderId="3" xfId="2" applyFont="1" applyFill="1" applyBorder="1" applyAlignment="1" applyProtection="1">
      <alignment horizontal="center" vertical="center" wrapText="1"/>
    </xf>
    <xf numFmtId="8" fontId="5" fillId="0" borderId="3" xfId="2" applyFont="1" applyFill="1" applyBorder="1" applyAlignment="1" applyProtection="1">
      <alignment horizontal="center" vertical="center"/>
    </xf>
    <xf numFmtId="0" fontId="4" fillId="0" borderId="9" xfId="3" applyFont="1" applyBorder="1" applyAlignment="1">
      <alignment vertical="center" wrapText="1"/>
    </xf>
    <xf numFmtId="0" fontId="4" fillId="0" borderId="7" xfId="3" applyFont="1" applyBorder="1" applyAlignment="1">
      <alignment horizontal="left" vertical="center" wrapText="1"/>
    </xf>
    <xf numFmtId="38" fontId="4" fillId="5" borderId="3" xfId="3" applyNumberFormat="1" applyFont="1" applyFill="1" applyBorder="1" applyAlignment="1">
      <alignment horizontal="center" vertical="center"/>
    </xf>
    <xf numFmtId="38" fontId="4" fillId="5" borderId="3" xfId="3" applyNumberFormat="1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left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38" fontId="4" fillId="0" borderId="3" xfId="3" applyNumberFormat="1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/>
    </xf>
    <xf numFmtId="168" fontId="5" fillId="0" borderId="3" xfId="3" applyNumberFormat="1" applyFont="1" applyBorder="1" applyAlignment="1">
      <alignment horizontal="left" vertical="center" wrapText="1"/>
    </xf>
    <xf numFmtId="0" fontId="4" fillId="0" borderId="3" xfId="3" applyFont="1" applyBorder="1" applyAlignment="1">
      <alignment horizontal="right" vertical="center" wrapText="1"/>
    </xf>
    <xf numFmtId="0" fontId="4" fillId="2" borderId="3" xfId="3" applyFont="1" applyFill="1" applyBorder="1" applyAlignment="1">
      <alignment horizontal="left" vertical="center" wrapText="1"/>
    </xf>
    <xf numFmtId="38" fontId="4" fillId="5" borderId="3" xfId="3" applyNumberFormat="1" applyFont="1" applyFill="1" applyBorder="1" applyAlignment="1">
      <alignment vertical="center" wrapText="1"/>
    </xf>
    <xf numFmtId="167" fontId="4" fillId="0" borderId="3" xfId="3" applyNumberFormat="1" applyFont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/>
    </xf>
    <xf numFmtId="38" fontId="5" fillId="5" borderId="3" xfId="3" applyNumberFormat="1" applyFont="1" applyFill="1" applyBorder="1" applyAlignment="1">
      <alignment horizontal="center" vertical="center"/>
    </xf>
    <xf numFmtId="38" fontId="5" fillId="5" borderId="3" xfId="3" applyNumberFormat="1" applyFont="1" applyFill="1" applyBorder="1" applyAlignment="1">
      <alignment horizontal="left" vertical="center" wrapText="1"/>
    </xf>
    <xf numFmtId="38" fontId="4" fillId="0" borderId="3" xfId="3" applyNumberFormat="1" applyFont="1" applyBorder="1" applyAlignment="1">
      <alignment horizontal="left" vertical="center" wrapText="1"/>
    </xf>
    <xf numFmtId="38" fontId="5" fillId="5" borderId="3" xfId="3" applyNumberFormat="1" applyFont="1" applyFill="1" applyBorder="1" applyAlignment="1">
      <alignment vertical="center" wrapText="1"/>
    </xf>
    <xf numFmtId="165" fontId="4" fillId="0" borderId="3" xfId="3" applyNumberFormat="1" applyFont="1" applyBorder="1" applyAlignment="1">
      <alignment horizontal="center" vertical="center"/>
    </xf>
    <xf numFmtId="38" fontId="5" fillId="5" borderId="3" xfId="3" applyNumberFormat="1" applyFont="1" applyFill="1" applyBorder="1" applyAlignment="1">
      <alignment horizontal="center" vertical="center" wrapText="1"/>
    </xf>
    <xf numFmtId="8" fontId="4" fillId="5" borderId="3" xfId="3" applyNumberFormat="1" applyFont="1" applyFill="1" applyBorder="1" applyAlignment="1">
      <alignment horizontal="center" vertical="center"/>
    </xf>
    <xf numFmtId="167" fontId="4" fillId="5" borderId="3" xfId="3" applyNumberFormat="1" applyFont="1" applyFill="1" applyBorder="1" applyAlignment="1">
      <alignment horizontal="center" vertical="center"/>
    </xf>
    <xf numFmtId="2" fontId="4" fillId="5" borderId="3" xfId="3" applyNumberFormat="1" applyFont="1" applyFill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8" fontId="12" fillId="6" borderId="3" xfId="3" applyNumberFormat="1" applyFont="1" applyFill="1" applyBorder="1" applyAlignment="1">
      <alignment horizontal="center" vertical="center"/>
    </xf>
    <xf numFmtId="8" fontId="13" fillId="0" borderId="3" xfId="3" applyNumberFormat="1" applyFont="1" applyBorder="1" applyAlignment="1">
      <alignment horizontal="center" vertical="center"/>
    </xf>
    <xf numFmtId="167" fontId="13" fillId="0" borderId="3" xfId="3" applyNumberFormat="1" applyFont="1" applyBorder="1" applyAlignment="1">
      <alignment horizontal="center" vertical="center"/>
    </xf>
    <xf numFmtId="2" fontId="13" fillId="0" borderId="3" xfId="3" applyNumberFormat="1" applyFont="1" applyBorder="1" applyAlignment="1">
      <alignment horizontal="center" vertical="center"/>
    </xf>
    <xf numFmtId="44" fontId="4" fillId="0" borderId="0" xfId="3" applyNumberFormat="1" applyFont="1" applyAlignment="1">
      <alignment horizontal="center" vertical="center"/>
    </xf>
    <xf numFmtId="38" fontId="4" fillId="0" borderId="5" xfId="3" applyNumberFormat="1" applyFont="1" applyBorder="1" applyAlignment="1">
      <alignment horizontal="center" vertical="center"/>
    </xf>
    <xf numFmtId="38" fontId="4" fillId="0" borderId="4" xfId="3" applyNumberFormat="1" applyFont="1" applyBorder="1" applyAlignment="1">
      <alignment horizontal="center" vertical="center"/>
    </xf>
    <xf numFmtId="38" fontId="4" fillId="0" borderId="10" xfId="3" applyNumberFormat="1" applyFont="1" applyBorder="1" applyAlignment="1">
      <alignment horizontal="center" vertical="center"/>
    </xf>
    <xf numFmtId="14" fontId="4" fillId="0" borderId="9" xfId="3" applyNumberFormat="1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38" fontId="4" fillId="0" borderId="3" xfId="3" applyNumberFormat="1" applyFont="1" applyBorder="1" applyAlignment="1">
      <alignment horizontal="center" vertical="center" wrapText="1"/>
    </xf>
    <xf numFmtId="38" fontId="4" fillId="2" borderId="3" xfId="3" applyNumberFormat="1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left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right" vertical="center"/>
    </xf>
    <xf numFmtId="0" fontId="4" fillId="0" borderId="3" xfId="3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4" xfId="3" applyFont="1" applyBorder="1" applyAlignment="1">
      <alignment horizontal="left" vertical="center"/>
    </xf>
    <xf numFmtId="8" fontId="5" fillId="0" borderId="3" xfId="2" applyFont="1" applyFill="1" applyBorder="1" applyAlignment="1" applyProtection="1">
      <alignment horizontal="center" vertical="center" wrapText="1"/>
    </xf>
    <xf numFmtId="8" fontId="5" fillId="0" borderId="3" xfId="2" applyFont="1" applyFill="1" applyBorder="1" applyAlignment="1" applyProtection="1">
      <alignment horizontal="center" vertical="center"/>
    </xf>
    <xf numFmtId="0" fontId="4" fillId="0" borderId="13" xfId="3" applyFont="1" applyBorder="1" applyAlignment="1">
      <alignment horizontal="left" vertical="center"/>
    </xf>
  </cellXfs>
  <cellStyles count="8">
    <cellStyle name="Currency" xfId="4" builtinId="4"/>
    <cellStyle name="Currency [0]_Addendum #8" xfId="1" xr:uid="{00000000-0005-0000-0000-000001000000}"/>
    <cellStyle name="Currency_Addendum #8" xfId="2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" xfId="7" xr:uid="{00000000-0005-0000-0000-000006000000}"/>
    <cellStyle name="Normal_Addendum #8" xfId="3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518160</xdr:colOff>
      <xdr:row>5</xdr:row>
      <xdr:rowOff>99060</xdr:rowOff>
    </xdr:from>
    <xdr:to>
      <xdr:col>7</xdr:col>
      <xdr:colOff>633888</xdr:colOff>
      <xdr:row>12</xdr:row>
      <xdr:rowOff>95277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8B9A0-665F-4E68-B05A-BDE517AE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140" y="1097280"/>
          <a:ext cx="1853088" cy="111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O36"/>
  <sheetViews>
    <sheetView showGridLines="0" showZeros="0" view="pageBreakPreview" topLeftCell="A3" zoomScaleNormal="100" zoomScaleSheetLayoutView="100" workbookViewId="0">
      <selection activeCell="D15" sqref="D15"/>
    </sheetView>
  </sheetViews>
  <sheetFormatPr defaultColWidth="9.109375" defaultRowHeight="13.8" x14ac:dyDescent="0.25"/>
  <cols>
    <col min="1" max="1" width="1.5546875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" customWidth="1"/>
    <col min="7" max="7" width="12.6640625" style="11" customWidth="1"/>
    <col min="8" max="8" width="9.33203125" style="11" customWidth="1"/>
    <col min="9" max="10" width="13.44140625" style="11" customWidth="1"/>
    <col min="11" max="16384" width="9.109375" style="11"/>
  </cols>
  <sheetData>
    <row r="1" spans="2:15" ht="9" customHeight="1" x14ac:dyDescent="0.25">
      <c r="I1" s="26"/>
      <c r="J1" s="26"/>
    </row>
    <row r="2" spans="2:15" ht="21.9" customHeight="1" x14ac:dyDescent="0.25">
      <c r="B2" s="101" t="s">
        <v>64</v>
      </c>
      <c r="C2" s="102"/>
      <c r="D2" s="102"/>
      <c r="E2" s="102"/>
      <c r="F2" s="102"/>
      <c r="G2" s="103"/>
      <c r="H2" s="104"/>
      <c r="I2" s="104"/>
      <c r="J2" s="104"/>
      <c r="K2" s="104"/>
      <c r="L2" s="104"/>
    </row>
    <row r="3" spans="2:15" ht="12.6" customHeight="1" x14ac:dyDescent="0.25">
      <c r="B3" s="105"/>
      <c r="C3" s="106"/>
      <c r="D3" s="106"/>
      <c r="E3" s="106"/>
      <c r="F3" s="106"/>
      <c r="G3" s="107"/>
    </row>
    <row r="4" spans="2:15" ht="12.6" customHeight="1" x14ac:dyDescent="0.25">
      <c r="B4" s="40"/>
      <c r="C4" s="18"/>
      <c r="D4" s="18"/>
      <c r="E4" s="18"/>
      <c r="F4" s="18"/>
      <c r="G4" s="19"/>
    </row>
    <row r="5" spans="2:15" ht="12.6" customHeight="1" x14ac:dyDescent="0.25">
      <c r="B5" s="41"/>
      <c r="D5" s="11"/>
      <c r="E5" s="11"/>
      <c r="F5" s="11"/>
      <c r="G5" s="20"/>
    </row>
    <row r="6" spans="2:15" ht="12.6" customHeight="1" x14ac:dyDescent="0.25">
      <c r="B6" s="41"/>
      <c r="G6" s="20"/>
      <c r="I6" s="104"/>
      <c r="J6" s="104"/>
      <c r="K6" s="104"/>
      <c r="L6" s="104"/>
      <c r="M6" s="104"/>
      <c r="O6" s="2"/>
    </row>
    <row r="7" spans="2:15" ht="12.6" customHeight="1" x14ac:dyDescent="0.25">
      <c r="B7" s="41"/>
      <c r="G7" s="20"/>
      <c r="O7" s="2"/>
    </row>
    <row r="8" spans="2:15" ht="12.6" customHeight="1" x14ac:dyDescent="0.25">
      <c r="B8" s="41"/>
      <c r="G8" s="20"/>
      <c r="I8" s="104"/>
      <c r="J8" s="104"/>
      <c r="K8" s="104"/>
      <c r="L8" s="104"/>
      <c r="M8" s="104"/>
      <c r="N8" s="4"/>
      <c r="O8" s="2"/>
    </row>
    <row r="9" spans="2:15" ht="12.6" customHeight="1" x14ac:dyDescent="0.25">
      <c r="B9" s="41"/>
      <c r="D9" s="36"/>
      <c r="E9" s="36"/>
      <c r="F9" s="36"/>
      <c r="G9" s="20"/>
      <c r="I9" s="104"/>
      <c r="J9" s="104"/>
      <c r="K9" s="104"/>
      <c r="L9" s="104"/>
      <c r="M9" s="104"/>
      <c r="N9" s="4"/>
      <c r="O9" s="2"/>
    </row>
    <row r="10" spans="2:15" ht="12.6" customHeight="1" x14ac:dyDescent="0.25">
      <c r="B10" s="108"/>
      <c r="C10" s="109"/>
      <c r="D10" s="109"/>
      <c r="E10" s="109"/>
      <c r="F10" s="109"/>
      <c r="G10" s="110"/>
      <c r="I10" s="104"/>
      <c r="J10" s="104"/>
      <c r="K10" s="104"/>
      <c r="L10" s="104"/>
      <c r="M10" s="104"/>
      <c r="N10" s="4"/>
      <c r="O10" s="2"/>
    </row>
    <row r="11" spans="2:15" ht="12.6" customHeight="1" x14ac:dyDescent="0.25">
      <c r="B11" s="41"/>
      <c r="G11" s="20"/>
      <c r="I11" s="104"/>
      <c r="J11" s="104"/>
      <c r="K11" s="104"/>
      <c r="L11" s="104"/>
      <c r="M11" s="104"/>
      <c r="N11" s="4"/>
      <c r="O11" s="2"/>
    </row>
    <row r="12" spans="2:15" x14ac:dyDescent="0.25">
      <c r="B12" s="42"/>
      <c r="C12" s="21"/>
      <c r="D12" s="21"/>
      <c r="E12" s="21"/>
      <c r="F12" s="21"/>
      <c r="G12" s="22"/>
      <c r="I12" s="104"/>
      <c r="J12" s="104"/>
      <c r="K12" s="104"/>
      <c r="L12" s="104"/>
      <c r="M12" s="104"/>
      <c r="O12" s="2"/>
    </row>
    <row r="13" spans="2:15" x14ac:dyDescent="0.25">
      <c r="B13" s="44"/>
      <c r="C13" s="37"/>
      <c r="D13" s="37"/>
      <c r="E13" s="37"/>
      <c r="F13" s="37"/>
      <c r="G13" s="38"/>
    </row>
    <row r="14" spans="2:15" ht="12.75" customHeight="1" x14ac:dyDescent="0.25">
      <c r="B14" s="111" t="s">
        <v>37</v>
      </c>
      <c r="C14" s="112"/>
      <c r="D14" s="16" t="s">
        <v>59</v>
      </c>
      <c r="E14" s="113" t="str">
        <f>'Detailed Estimate Sheet'!J15</f>
        <v>PROJECT LOCATION</v>
      </c>
      <c r="F14" s="114"/>
      <c r="G14" s="115"/>
    </row>
    <row r="15" spans="2:15" x14ac:dyDescent="0.25">
      <c r="B15" s="97">
        <v>45350</v>
      </c>
      <c r="C15" s="98"/>
      <c r="D15" s="60" t="str">
        <f>'Detailed Estimate Sheet'!D16</f>
        <v>GARAGE ADDITION AT RACINE RESIDENCE</v>
      </c>
      <c r="E15" s="116" t="str">
        <f>'Detailed Estimate Sheet'!J16</f>
        <v>733 RTE 340 PALISADES, NY 10964</v>
      </c>
      <c r="F15" s="98"/>
      <c r="G15" s="117"/>
    </row>
    <row r="16" spans="2:15" x14ac:dyDescent="0.25">
      <c r="B16" s="99"/>
      <c r="C16" s="100"/>
      <c r="D16" s="61" t="str">
        <f>'Detailed Estimate Sheet'!D17</f>
        <v>GROSS AREA: 4100 SF</v>
      </c>
      <c r="E16" s="99"/>
      <c r="F16" s="100"/>
      <c r="G16" s="118"/>
    </row>
    <row r="17" spans="2:12" x14ac:dyDescent="0.25">
      <c r="B17" s="94"/>
      <c r="C17" s="95"/>
      <c r="D17" s="95"/>
      <c r="E17" s="95"/>
      <c r="F17" s="95"/>
      <c r="G17" s="96"/>
    </row>
    <row r="18" spans="2:12" s="12" customFormat="1" ht="27.6" x14ac:dyDescent="0.25">
      <c r="B18" s="13" t="s">
        <v>72</v>
      </c>
      <c r="C18" s="13" t="s">
        <v>67</v>
      </c>
      <c r="D18" s="58" t="s">
        <v>68</v>
      </c>
      <c r="E18" s="58" t="s">
        <v>69</v>
      </c>
      <c r="F18" s="58" t="s">
        <v>70</v>
      </c>
      <c r="G18" s="54" t="s">
        <v>71</v>
      </c>
      <c r="H18" s="11"/>
      <c r="I18" s="11"/>
      <c r="J18" s="11"/>
      <c r="K18" s="11"/>
      <c r="L18" s="11"/>
    </row>
    <row r="19" spans="2:12" x14ac:dyDescent="0.25">
      <c r="B19" s="48"/>
      <c r="C19" s="52"/>
      <c r="D19" s="8"/>
      <c r="E19" s="51"/>
      <c r="F19" s="51"/>
      <c r="G19" s="57"/>
    </row>
    <row r="20" spans="2:12" x14ac:dyDescent="0.25">
      <c r="B20" s="48">
        <f>IF(G20&lt;&gt;"",1+MAX($B$18:B19),"")</f>
        <v>1</v>
      </c>
      <c r="C20" s="52" t="str">
        <f>'Detailed Estimate Sheet'!C21</f>
        <v>DIV. 01</v>
      </c>
      <c r="D20" s="8" t="str">
        <f>'Detailed Estimate Sheet'!D21</f>
        <v>GENERAL REQUIREMENTS</v>
      </c>
      <c r="E20" s="55">
        <f>'Detailed Estimate Sheet'!H21+('Detailed Estimate Sheet'!H21*('Detailed Estimate Sheet'!$Q$8+'Detailed Estimate Sheet'!$Q$10+'Detailed Estimate Sheet'!$Q$12))+('Detailed Estimate Sheet'!$Q$11*('Detailed Estimate Sheet'!H21+'Detailed Estimate Sheet'!H21*'Detailed Estimate Sheet'!$Q$8+'Detailed Estimate Sheet'!H21*'Detailed Estimate Sheet'!$Q$10))</f>
        <v>0</v>
      </c>
      <c r="F20" s="55">
        <f>'Detailed Estimate Sheet'!O21+('Detailed Estimate Sheet'!O21*('Detailed Estimate Sheet'!$Q$9+'Detailed Estimate Sheet'!$Q$10+'Detailed Estimate Sheet'!$Q$12))+('Detailed Estimate Sheet'!$Q$11*('Detailed Estimate Sheet'!O21+'Detailed Estimate Sheet'!O21*'Detailed Estimate Sheet'!$Q$9+'Detailed Estimate Sheet'!O21*'Detailed Estimate Sheet'!$Q$10))</f>
        <v>67069</v>
      </c>
      <c r="G20" s="55">
        <f>'Detailed Estimate Sheet'!R21</f>
        <v>67069</v>
      </c>
    </row>
    <row r="21" spans="2:12" x14ac:dyDescent="0.25">
      <c r="B21" s="48">
        <f>IF(G21&lt;&gt;"",1+MAX($B$18:B20),"")</f>
        <v>2</v>
      </c>
      <c r="C21" s="52" t="str">
        <f>'Detailed Estimate Sheet'!C28</f>
        <v>DIV. 02</v>
      </c>
      <c r="D21" s="8" t="str">
        <f>'Detailed Estimate Sheet'!D28</f>
        <v>EXISTING CONDITIONS</v>
      </c>
      <c r="E21" s="55">
        <f>'Detailed Estimate Sheet'!H28+('Detailed Estimate Sheet'!H28*('Detailed Estimate Sheet'!$Q$8+'Detailed Estimate Sheet'!$Q$10+'Detailed Estimate Sheet'!$Q$12))+('Detailed Estimate Sheet'!$Q$11*('Detailed Estimate Sheet'!H28+'Detailed Estimate Sheet'!H28*'Detailed Estimate Sheet'!$Q$8+'Detailed Estimate Sheet'!H28*'Detailed Estimate Sheet'!$Q$10))</f>
        <v>1871.1728363380798</v>
      </c>
      <c r="F21" s="55">
        <f>'Detailed Estimate Sheet'!O28+('Detailed Estimate Sheet'!O28*('Detailed Estimate Sheet'!$Q$9+'Detailed Estimate Sheet'!$Q$10+'Detailed Estimate Sheet'!$Q$12))+('Detailed Estimate Sheet'!$Q$11*('Detailed Estimate Sheet'!O28+'Detailed Estimate Sheet'!O28*'Detailed Estimate Sheet'!$Q$9+'Detailed Estimate Sheet'!O28*'Detailed Estimate Sheet'!$Q$10))</f>
        <v>27418.22835225836</v>
      </c>
      <c r="G21" s="55">
        <f>'Detailed Estimate Sheet'!R28</f>
        <v>29289.40118859645</v>
      </c>
    </row>
    <row r="22" spans="2:12" x14ac:dyDescent="0.25">
      <c r="B22" s="48">
        <f>IF(G22&lt;&gt;"",1+MAX($B$18:B21),"")</f>
        <v>3</v>
      </c>
      <c r="C22" s="52" t="str">
        <f>'Detailed Estimate Sheet'!C65</f>
        <v>DIV. 03</v>
      </c>
      <c r="D22" s="8" t="str">
        <f>'Detailed Estimate Sheet'!D65</f>
        <v>CONCRETE</v>
      </c>
      <c r="E22" s="55">
        <f>'Detailed Estimate Sheet'!H65+('Detailed Estimate Sheet'!H65*('Detailed Estimate Sheet'!$Q$8+'Detailed Estimate Sheet'!$Q$10+'Detailed Estimate Sheet'!$Q$12))+('Detailed Estimate Sheet'!$Q$11*('Detailed Estimate Sheet'!H65+'Detailed Estimate Sheet'!H65*'Detailed Estimate Sheet'!$Q$8+'Detailed Estimate Sheet'!H65*'Detailed Estimate Sheet'!$Q$10))</f>
        <v>11865.801928059622</v>
      </c>
      <c r="F22" s="55">
        <f>'Detailed Estimate Sheet'!O65+('Detailed Estimate Sheet'!O65*('Detailed Estimate Sheet'!$Q$9+'Detailed Estimate Sheet'!$Q$10+'Detailed Estimate Sheet'!$Q$12))+('Detailed Estimate Sheet'!$Q$11*('Detailed Estimate Sheet'!O65+'Detailed Estimate Sheet'!O65*'Detailed Estimate Sheet'!$Q$9+'Detailed Estimate Sheet'!O65*'Detailed Estimate Sheet'!$Q$10))</f>
        <v>14078.494822960505</v>
      </c>
      <c r="G22" s="55">
        <f>'Detailed Estimate Sheet'!R65</f>
        <v>25944.296751020127</v>
      </c>
    </row>
    <row r="23" spans="2:12" x14ac:dyDescent="0.25">
      <c r="B23" s="48">
        <f>IF(G23&lt;&gt;"",1+MAX($B$18:B22),"")</f>
        <v>4</v>
      </c>
      <c r="C23" s="52" t="str">
        <f>'Detailed Estimate Sheet'!C85</f>
        <v>DIV. 04</v>
      </c>
      <c r="D23" s="8" t="str">
        <f>'Detailed Estimate Sheet'!D85</f>
        <v>MASONRY</v>
      </c>
      <c r="E23" s="55">
        <f>'Detailed Estimate Sheet'!H85+('Detailed Estimate Sheet'!H85*('Detailed Estimate Sheet'!$Q$8+'Detailed Estimate Sheet'!$Q$10+'Detailed Estimate Sheet'!$Q$12))+('Detailed Estimate Sheet'!$Q$11*('Detailed Estimate Sheet'!H85+'Detailed Estimate Sheet'!H85*'Detailed Estimate Sheet'!$Q$8+'Detailed Estimate Sheet'!H85*'Detailed Estimate Sheet'!$Q$10))</f>
        <v>213.33449499999998</v>
      </c>
      <c r="F23" s="55">
        <f>'Detailed Estimate Sheet'!O85+('Detailed Estimate Sheet'!O85*('Detailed Estimate Sheet'!$Q$9+'Detailed Estimate Sheet'!$Q$10+'Detailed Estimate Sheet'!$Q$12))+('Detailed Estimate Sheet'!$Q$11*('Detailed Estimate Sheet'!O85+'Detailed Estimate Sheet'!O85*'Detailed Estimate Sheet'!$Q$9+'Detailed Estimate Sheet'!O85*'Detailed Estimate Sheet'!$Q$10))</f>
        <v>508.01478835800003</v>
      </c>
      <c r="G23" s="55">
        <f>'Detailed Estimate Sheet'!R85</f>
        <v>721.34928335799998</v>
      </c>
    </row>
    <row r="24" spans="2:12" x14ac:dyDescent="0.25">
      <c r="B24" s="48">
        <f>IF(G24&lt;&gt;"",1+MAX($B$18:B23),"")</f>
        <v>5</v>
      </c>
      <c r="C24" s="52" t="str">
        <f>'Detailed Estimate Sheet'!C90</f>
        <v>DIV. 06</v>
      </c>
      <c r="D24" s="8" t="str">
        <f>'Detailed Estimate Sheet'!D90</f>
        <v>WOOD, PLASTICS AND COMPOSITES</v>
      </c>
      <c r="E24" s="55">
        <f>'Detailed Estimate Sheet'!H90+('Detailed Estimate Sheet'!H90*('Detailed Estimate Sheet'!$Q$8+'Detailed Estimate Sheet'!$Q$10+'Detailed Estimate Sheet'!$Q$12))+('Detailed Estimate Sheet'!$Q$11*('Detailed Estimate Sheet'!H90+'Detailed Estimate Sheet'!H90*'Detailed Estimate Sheet'!$Q$8+'Detailed Estimate Sheet'!H90*'Detailed Estimate Sheet'!$Q$10))</f>
        <v>81073.54069937054</v>
      </c>
      <c r="F24" s="55">
        <f>'Detailed Estimate Sheet'!O90+('Detailed Estimate Sheet'!O90*('Detailed Estimate Sheet'!$Q$9+'Detailed Estimate Sheet'!$Q$10+'Detailed Estimate Sheet'!$Q$12))+('Detailed Estimate Sheet'!$Q$11*('Detailed Estimate Sheet'!O90+'Detailed Estimate Sheet'!O90*'Detailed Estimate Sheet'!$Q$9+'Detailed Estimate Sheet'!O90*'Detailed Estimate Sheet'!$Q$10))</f>
        <v>61897.046635765451</v>
      </c>
      <c r="G24" s="55">
        <f>'Detailed Estimate Sheet'!R90</f>
        <v>142970.58733513596</v>
      </c>
    </row>
    <row r="25" spans="2:12" x14ac:dyDescent="0.25">
      <c r="B25" s="48">
        <f>IF(G25&lt;&gt;"",1+MAX($B$18:B24),"")</f>
        <v>6</v>
      </c>
      <c r="C25" s="52" t="str">
        <f>'Detailed Estimate Sheet'!C201</f>
        <v>DIV. 07</v>
      </c>
      <c r="D25" s="8" t="str">
        <f>'Detailed Estimate Sheet'!D201</f>
        <v>THERMAL AND MOISTURE PROTECTION</v>
      </c>
      <c r="E25" s="55">
        <f>'Detailed Estimate Sheet'!H201+('Detailed Estimate Sheet'!H201*('Detailed Estimate Sheet'!$Q$8+'Detailed Estimate Sheet'!$Q$10+'Detailed Estimate Sheet'!$Q$12))+('Detailed Estimate Sheet'!$Q$11*('Detailed Estimate Sheet'!H201+'Detailed Estimate Sheet'!H201*'Detailed Estimate Sheet'!$Q$8+'Detailed Estimate Sheet'!H201*'Detailed Estimate Sheet'!$Q$10))</f>
        <v>91198.708341913894</v>
      </c>
      <c r="F25" s="55">
        <f>'Detailed Estimate Sheet'!O201+('Detailed Estimate Sheet'!O201*('Detailed Estimate Sheet'!$Q$9+'Detailed Estimate Sheet'!$Q$10+'Detailed Estimate Sheet'!$Q$12))+('Detailed Estimate Sheet'!$Q$11*('Detailed Estimate Sheet'!O201+'Detailed Estimate Sheet'!O201*'Detailed Estimate Sheet'!$Q$9+'Detailed Estimate Sheet'!O201*'Detailed Estimate Sheet'!$Q$10))</f>
        <v>70530.107188565933</v>
      </c>
      <c r="G25" s="55">
        <f>'Detailed Estimate Sheet'!R201</f>
        <v>161728.81553047983</v>
      </c>
    </row>
    <row r="26" spans="2:12" x14ac:dyDescent="0.25">
      <c r="B26" s="48">
        <f>IF(G26&lt;&gt;"",1+MAX($B$18:B25),"")</f>
        <v>7</v>
      </c>
      <c r="C26" s="52" t="str">
        <f>'Detailed Estimate Sheet'!C257</f>
        <v>DIV. 08</v>
      </c>
      <c r="D26" s="8" t="str">
        <f>'Detailed Estimate Sheet'!D257</f>
        <v>OPENINGS</v>
      </c>
      <c r="E26" s="55">
        <f>'Detailed Estimate Sheet'!H257+('Detailed Estimate Sheet'!H257*('Detailed Estimate Sheet'!$Q$8+'Detailed Estimate Sheet'!$Q$10+'Detailed Estimate Sheet'!$Q$12))+('Detailed Estimate Sheet'!$Q$11*('Detailed Estimate Sheet'!H257+'Detailed Estimate Sheet'!H257*'Detailed Estimate Sheet'!$Q$8+'Detailed Estimate Sheet'!H257*'Detailed Estimate Sheet'!$Q$10))</f>
        <v>50185.582365599999</v>
      </c>
      <c r="F26" s="55">
        <f>'Detailed Estimate Sheet'!O257+('Detailed Estimate Sheet'!O257*('Detailed Estimate Sheet'!$Q$9+'Detailed Estimate Sheet'!$Q$10+'Detailed Estimate Sheet'!$Q$12))+('Detailed Estimate Sheet'!$Q$11*('Detailed Estimate Sheet'!O257+'Detailed Estimate Sheet'!O257*'Detailed Estimate Sheet'!$Q$9+'Detailed Estimate Sheet'!O257*'Detailed Estimate Sheet'!$Q$10))</f>
        <v>19980.808993058454</v>
      </c>
      <c r="G26" s="55">
        <f>'Detailed Estimate Sheet'!R257</f>
        <v>70166.391358658439</v>
      </c>
    </row>
    <row r="27" spans="2:12" x14ac:dyDescent="0.25">
      <c r="B27" s="48">
        <f>IF(G27&lt;&gt;"",1+MAX($B$18:B26),"")</f>
        <v>8</v>
      </c>
      <c r="C27" s="52" t="str">
        <f>'Detailed Estimate Sheet'!C295</f>
        <v>DIV. 09</v>
      </c>
      <c r="D27" s="8" t="str">
        <f>'Detailed Estimate Sheet'!D295</f>
        <v>FINISHES</v>
      </c>
      <c r="E27" s="55">
        <f>'Detailed Estimate Sheet'!H295+('Detailed Estimate Sheet'!H295*('Detailed Estimate Sheet'!$Q$8+'Detailed Estimate Sheet'!$Q$10+'Detailed Estimate Sheet'!$Q$12))+('Detailed Estimate Sheet'!$Q$11*('Detailed Estimate Sheet'!H295+'Detailed Estimate Sheet'!H295*'Detailed Estimate Sheet'!$Q$8+'Detailed Estimate Sheet'!H295*'Detailed Estimate Sheet'!$Q$10))</f>
        <v>21522.116226640661</v>
      </c>
      <c r="F27" s="55">
        <f>'Detailed Estimate Sheet'!O295+('Detailed Estimate Sheet'!O295*('Detailed Estimate Sheet'!$Q$9+'Detailed Estimate Sheet'!$Q$10+'Detailed Estimate Sheet'!$Q$12))+('Detailed Estimate Sheet'!$Q$11*('Detailed Estimate Sheet'!O295+'Detailed Estimate Sheet'!O295*'Detailed Estimate Sheet'!$Q$9+'Detailed Estimate Sheet'!O295*'Detailed Estimate Sheet'!$Q$10))</f>
        <v>43545.253173708828</v>
      </c>
      <c r="G27" s="55">
        <f>'Detailed Estimate Sheet'!R295</f>
        <v>65067.369400349482</v>
      </c>
    </row>
    <row r="28" spans="2:12" x14ac:dyDescent="0.25">
      <c r="B28" s="48">
        <f>IF(G28&lt;&gt;"",1+MAX($B$18:B27),"")</f>
        <v>9</v>
      </c>
      <c r="C28" s="52" t="str">
        <f>'Detailed Estimate Sheet'!C356</f>
        <v>DIV. 12</v>
      </c>
      <c r="D28" s="8" t="str">
        <f>'Detailed Estimate Sheet'!D356</f>
        <v>FURNISHINGS</v>
      </c>
      <c r="E28" s="55">
        <f>'Detailed Estimate Sheet'!H356+('Detailed Estimate Sheet'!H356*('Detailed Estimate Sheet'!$Q$8+'Detailed Estimate Sheet'!$Q$10+'Detailed Estimate Sheet'!$Q$12))+('Detailed Estimate Sheet'!$Q$11*('Detailed Estimate Sheet'!H356+'Detailed Estimate Sheet'!H356*'Detailed Estimate Sheet'!$Q$8+'Detailed Estimate Sheet'!H356*'Detailed Estimate Sheet'!$Q$10))</f>
        <v>17867.3457776</v>
      </c>
      <c r="F28" s="55">
        <f>'Detailed Estimate Sheet'!O356+('Detailed Estimate Sheet'!O356*('Detailed Estimate Sheet'!$Q$9+'Detailed Estimate Sheet'!$Q$10+'Detailed Estimate Sheet'!$Q$12))+('Detailed Estimate Sheet'!$Q$11*('Detailed Estimate Sheet'!O356+'Detailed Estimate Sheet'!O356*'Detailed Estimate Sheet'!$Q$9+'Detailed Estimate Sheet'!O356*'Detailed Estimate Sheet'!$Q$10))</f>
        <v>2625.6705328539001</v>
      </c>
      <c r="G28" s="55">
        <f>'Detailed Estimate Sheet'!R356</f>
        <v>20493.016310453895</v>
      </c>
    </row>
    <row r="29" spans="2:12" x14ac:dyDescent="0.25">
      <c r="B29" s="48">
        <f>IF(G29&lt;&gt;"",1+MAX($B$18:B28),"")</f>
        <v>10</v>
      </c>
      <c r="C29" s="52" t="str">
        <f>'Detailed Estimate Sheet'!C367</f>
        <v>DIV. 22</v>
      </c>
      <c r="D29" s="8" t="str">
        <f>'Detailed Estimate Sheet'!D367</f>
        <v>PLUMBING</v>
      </c>
      <c r="E29" s="55">
        <f>'Detailed Estimate Sheet'!H367+('Detailed Estimate Sheet'!H367*('Detailed Estimate Sheet'!$Q$8+'Detailed Estimate Sheet'!$Q$10+'Detailed Estimate Sheet'!$Q$12))+('Detailed Estimate Sheet'!$Q$11*('Detailed Estimate Sheet'!H367+'Detailed Estimate Sheet'!H367*'Detailed Estimate Sheet'!$Q$8+'Detailed Estimate Sheet'!H367*'Detailed Estimate Sheet'!$Q$10))</f>
        <v>5942.3353880000013</v>
      </c>
      <c r="F29" s="55">
        <f>'Detailed Estimate Sheet'!O367+('Detailed Estimate Sheet'!O367*('Detailed Estimate Sheet'!$Q$9+'Detailed Estimate Sheet'!$Q$10+'Detailed Estimate Sheet'!$Q$12))+('Detailed Estimate Sheet'!$Q$11*('Detailed Estimate Sheet'!O367+'Detailed Estimate Sheet'!O367*'Detailed Estimate Sheet'!$Q$9+'Detailed Estimate Sheet'!O367*'Detailed Estimate Sheet'!$Q$10))</f>
        <v>3253.277454</v>
      </c>
      <c r="G29" s="55">
        <f>'Detailed Estimate Sheet'!R367</f>
        <v>9195.6128420000005</v>
      </c>
    </row>
    <row r="30" spans="2:12" x14ac:dyDescent="0.25">
      <c r="B30" s="48">
        <f>IF(G30&lt;&gt;"",1+MAX($B$18:B29),"")</f>
        <v>11</v>
      </c>
      <c r="C30" s="52" t="str">
        <f>'Detailed Estimate Sheet'!C377</f>
        <v>DIV. 23</v>
      </c>
      <c r="D30" s="8" t="str">
        <f>'Detailed Estimate Sheet'!D377</f>
        <v>HEATING, VENTILATION AND AIR CONDITIONING (HVAC)</v>
      </c>
      <c r="E30" s="55">
        <f>'Detailed Estimate Sheet'!H377+('Detailed Estimate Sheet'!H377*('Detailed Estimate Sheet'!$Q$8+'Detailed Estimate Sheet'!$Q$10+'Detailed Estimate Sheet'!$Q$12))+('Detailed Estimate Sheet'!$Q$11*('Detailed Estimate Sheet'!H377+'Detailed Estimate Sheet'!H377*'Detailed Estimate Sheet'!$Q$8+'Detailed Estimate Sheet'!H377*'Detailed Estimate Sheet'!$Q$10))</f>
        <v>10084.903400000001</v>
      </c>
      <c r="F30" s="55">
        <f>'Detailed Estimate Sheet'!O377+('Detailed Estimate Sheet'!O377*('Detailed Estimate Sheet'!$Q$9+'Detailed Estimate Sheet'!$Q$10+'Detailed Estimate Sheet'!$Q$12))+('Detailed Estimate Sheet'!$Q$11*('Detailed Estimate Sheet'!O377+'Detailed Estimate Sheet'!O377*'Detailed Estimate Sheet'!$Q$9+'Detailed Estimate Sheet'!O377*'Detailed Estimate Sheet'!$Q$10))</f>
        <v>12277.360031999999</v>
      </c>
      <c r="G30" s="55">
        <f>'Detailed Estimate Sheet'!R377</f>
        <v>22362.263432</v>
      </c>
    </row>
    <row r="31" spans="2:12" x14ac:dyDescent="0.25">
      <c r="B31" s="48">
        <f>IF(G31&lt;&gt;"",1+MAX($B$18:B30),"")</f>
        <v>12</v>
      </c>
      <c r="C31" s="52" t="str">
        <f>'Detailed Estimate Sheet'!C382</f>
        <v>DIV. 26</v>
      </c>
      <c r="D31" s="8" t="str">
        <f>'Detailed Estimate Sheet'!D382</f>
        <v>ELECTRICAL</v>
      </c>
      <c r="E31" s="55">
        <f>'Detailed Estimate Sheet'!H382+('Detailed Estimate Sheet'!H382*('Detailed Estimate Sheet'!$Q$8+'Detailed Estimate Sheet'!$Q$10+'Detailed Estimate Sheet'!$Q$12))+('Detailed Estimate Sheet'!$Q$11*('Detailed Estimate Sheet'!H382+'Detailed Estimate Sheet'!H382*'Detailed Estimate Sheet'!$Q$8+'Detailed Estimate Sheet'!H382*'Detailed Estimate Sheet'!$Q$10))</f>
        <v>36877.311110420007</v>
      </c>
      <c r="F31" s="55">
        <f>'Detailed Estimate Sheet'!O382+('Detailed Estimate Sheet'!O382*('Detailed Estimate Sheet'!$Q$9+'Detailed Estimate Sheet'!$Q$10+'Detailed Estimate Sheet'!$Q$12))+('Detailed Estimate Sheet'!$Q$11*('Detailed Estimate Sheet'!O382+'Detailed Estimate Sheet'!O382*'Detailed Estimate Sheet'!$Q$9+'Detailed Estimate Sheet'!O382*'Detailed Estimate Sheet'!$Q$10))</f>
        <v>20506.017387269396</v>
      </c>
      <c r="G31" s="55">
        <f>'Detailed Estimate Sheet'!R382</f>
        <v>57383.328497689407</v>
      </c>
    </row>
    <row r="32" spans="2:12" x14ac:dyDescent="0.25">
      <c r="B32" s="48">
        <f>IF(G32&lt;&gt;"",1+MAX($B$18:B31),"")</f>
        <v>13</v>
      </c>
      <c r="C32" s="52" t="str">
        <f>'Detailed Estimate Sheet'!C415</f>
        <v>DIV. 31</v>
      </c>
      <c r="D32" s="8" t="str">
        <f>'Detailed Estimate Sheet'!D415</f>
        <v>EARTHWORK</v>
      </c>
      <c r="E32" s="55">
        <f>'Detailed Estimate Sheet'!H415+('Detailed Estimate Sheet'!H415*('Detailed Estimate Sheet'!$Q$8+'Detailed Estimate Sheet'!$Q$10+'Detailed Estimate Sheet'!$Q$12))+('Detailed Estimate Sheet'!$Q$11*('Detailed Estimate Sheet'!H415+'Detailed Estimate Sheet'!H415*'Detailed Estimate Sheet'!$Q$8+'Detailed Estimate Sheet'!H415*'Detailed Estimate Sheet'!$Q$10))</f>
        <v>0</v>
      </c>
      <c r="F32" s="55">
        <f>'Detailed Estimate Sheet'!O415+('Detailed Estimate Sheet'!O415*('Detailed Estimate Sheet'!$Q$9+'Detailed Estimate Sheet'!$Q$10+'Detailed Estimate Sheet'!$Q$12))+('Detailed Estimate Sheet'!$Q$11*('Detailed Estimate Sheet'!O415+'Detailed Estimate Sheet'!O415*'Detailed Estimate Sheet'!$Q$9+'Detailed Estimate Sheet'!O415*'Detailed Estimate Sheet'!$Q$10))</f>
        <v>15795.775533297649</v>
      </c>
      <c r="G32" s="55">
        <f>'Detailed Estimate Sheet'!R415</f>
        <v>15795.775533297649</v>
      </c>
    </row>
    <row r="33" spans="2:7" x14ac:dyDescent="0.25">
      <c r="B33" s="48">
        <f>IF(G33&lt;&gt;"",1+MAX($B$18:B32),"")</f>
        <v>14</v>
      </c>
      <c r="C33" s="52" t="str">
        <f>'Detailed Estimate Sheet'!C426</f>
        <v>DIV. 32</v>
      </c>
      <c r="D33" s="8" t="str">
        <f>'Detailed Estimate Sheet'!D426</f>
        <v>EXTERIOR IMPROVEMENTS</v>
      </c>
      <c r="E33" s="55">
        <f>'Detailed Estimate Sheet'!H426+('Detailed Estimate Sheet'!H426*('Detailed Estimate Sheet'!$Q$8+'Detailed Estimate Sheet'!$Q$10+'Detailed Estimate Sheet'!$Q$12))+('Detailed Estimate Sheet'!$Q$11*('Detailed Estimate Sheet'!H426+'Detailed Estimate Sheet'!H426*'Detailed Estimate Sheet'!$Q$8+'Detailed Estimate Sheet'!H426*'Detailed Estimate Sheet'!$Q$10))</f>
        <v>42648.177281893331</v>
      </c>
      <c r="F33" s="55">
        <f>'Detailed Estimate Sheet'!O426+('Detailed Estimate Sheet'!O426*('Detailed Estimate Sheet'!$Q$9+'Detailed Estimate Sheet'!$Q$10+'Detailed Estimate Sheet'!$Q$12))+('Detailed Estimate Sheet'!$Q$11*('Detailed Estimate Sheet'!O426+'Detailed Estimate Sheet'!O426*'Detailed Estimate Sheet'!$Q$9+'Detailed Estimate Sheet'!O426*'Detailed Estimate Sheet'!$Q$10))</f>
        <v>35345.357604855475</v>
      </c>
      <c r="G33" s="55">
        <f>'Detailed Estimate Sheet'!R426</f>
        <v>77993.534886748806</v>
      </c>
    </row>
    <row r="34" spans="2:7" x14ac:dyDescent="0.25">
      <c r="B34" s="48"/>
      <c r="C34" s="52"/>
      <c r="D34" s="8"/>
      <c r="E34" s="51"/>
      <c r="F34" s="51"/>
      <c r="G34" s="57"/>
    </row>
    <row r="35" spans="2:7" x14ac:dyDescent="0.25">
      <c r="B35" s="48"/>
      <c r="C35" s="52"/>
      <c r="D35" s="51" t="s">
        <v>65</v>
      </c>
      <c r="E35" s="51"/>
      <c r="F35" s="51"/>
      <c r="G35" s="57">
        <f>SUM(G20:G34)</f>
        <v>766180.74234978796</v>
      </c>
    </row>
    <row r="36" spans="2:7" x14ac:dyDescent="0.25">
      <c r="B36" s="48"/>
      <c r="C36" s="52"/>
      <c r="D36" s="8"/>
      <c r="E36" s="8"/>
      <c r="F36" s="8"/>
      <c r="G36" s="56"/>
    </row>
  </sheetData>
  <mergeCells count="15">
    <mergeCell ref="B17:G17"/>
    <mergeCell ref="B15:C16"/>
    <mergeCell ref="B2:G2"/>
    <mergeCell ref="H2:L2"/>
    <mergeCell ref="B3:G3"/>
    <mergeCell ref="I6:M6"/>
    <mergeCell ref="I8:M8"/>
    <mergeCell ref="I9:M9"/>
    <mergeCell ref="B10:G10"/>
    <mergeCell ref="I10:M10"/>
    <mergeCell ref="I11:M11"/>
    <mergeCell ref="I12:M12"/>
    <mergeCell ref="B14:C14"/>
    <mergeCell ref="E14:G14"/>
    <mergeCell ref="E15:G16"/>
  </mergeCells>
  <printOptions horizontalCentered="1"/>
  <pageMargins left="0.25" right="0.25" top="0.375" bottom="0.375" header="0.25" footer="0.25"/>
  <pageSetup paperSize="9" fitToHeight="0" orientation="landscape" horizontalDpi="300" verticalDpi="300" r:id="rId1"/>
  <headerFooter alignWithMargins="0">
    <oddFooter>&amp;R&amp;"Arial,Bold"&amp;P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AJ452"/>
  <sheetViews>
    <sheetView showGridLines="0" showZeros="0" tabSelected="1" view="pageBreakPreview" topLeftCell="D3" zoomScaleNormal="100" zoomScaleSheetLayoutView="100" workbookViewId="0">
      <selection activeCell="H11" sqref="H11"/>
    </sheetView>
  </sheetViews>
  <sheetFormatPr defaultColWidth="9.109375" defaultRowHeight="13.8" x14ac:dyDescent="0.25"/>
  <cols>
    <col min="1" max="1" width="1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1" customWidth="1"/>
    <col min="7" max="7" width="12.6640625" style="14" hidden="1" customWidth="1"/>
    <col min="8" max="10" width="12.6640625" style="14" customWidth="1"/>
    <col min="11" max="11" width="12.6640625" style="11" customWidth="1"/>
    <col min="12" max="12" width="12.6640625" style="11" hidden="1" customWidth="1"/>
    <col min="13" max="13" width="12.6640625" style="14" hidden="1" customWidth="1"/>
    <col min="14" max="14" width="12.6640625" style="14" customWidth="1"/>
    <col min="15" max="15" width="12.6640625" style="11" customWidth="1"/>
    <col min="16" max="18" width="12.6640625" style="14" customWidth="1"/>
    <col min="19" max="19" width="12.6640625" style="11" customWidth="1"/>
    <col min="20" max="21" width="12.6640625" style="11" hidden="1" customWidth="1"/>
    <col min="22" max="16384" width="9.109375" style="11"/>
  </cols>
  <sheetData>
    <row r="1" spans="2:26" ht="18" x14ac:dyDescent="0.25">
      <c r="G1" s="50"/>
      <c r="H1" s="50"/>
      <c r="I1" s="50"/>
      <c r="J1" s="50"/>
      <c r="M1" s="50"/>
      <c r="N1" s="50"/>
      <c r="P1" s="50"/>
      <c r="Q1" s="50"/>
      <c r="R1" s="50"/>
      <c r="T1" s="26" t="s">
        <v>38</v>
      </c>
      <c r="U1" s="26" t="s">
        <v>39</v>
      </c>
    </row>
    <row r="2" spans="2:26" ht="21.9" customHeight="1" x14ac:dyDescent="0.25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T2" s="25">
        <v>1.1000000000000001</v>
      </c>
      <c r="U2" s="25">
        <v>1.302</v>
      </c>
    </row>
    <row r="3" spans="2:26" x14ac:dyDescent="0.25">
      <c r="B3" s="111" t="s">
        <v>2</v>
      </c>
      <c r="C3" s="112"/>
      <c r="D3" s="112"/>
      <c r="E3" s="112"/>
      <c r="F3" s="112"/>
      <c r="G3" s="112"/>
      <c r="H3" s="123"/>
      <c r="I3" s="130" t="s">
        <v>3</v>
      </c>
      <c r="J3" s="130"/>
      <c r="K3" s="130"/>
      <c r="L3" s="130"/>
      <c r="M3" s="130"/>
      <c r="N3" s="130"/>
      <c r="O3" s="130"/>
      <c r="P3" s="130"/>
      <c r="Q3" s="130"/>
      <c r="R3" s="130"/>
      <c r="T3" s="11">
        <v>0.94099999999999995</v>
      </c>
      <c r="U3" s="11">
        <v>1.302</v>
      </c>
    </row>
    <row r="4" spans="2:26" ht="12.6" customHeight="1" x14ac:dyDescent="0.25">
      <c r="B4" s="105"/>
      <c r="C4" s="106"/>
      <c r="D4" s="106"/>
      <c r="E4" s="106"/>
      <c r="F4" s="106"/>
      <c r="G4" s="106"/>
      <c r="H4" s="107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2:26" ht="12.6" customHeight="1" x14ac:dyDescent="0.25">
      <c r="B5" s="40"/>
      <c r="C5" s="18"/>
      <c r="D5" s="18"/>
      <c r="E5" s="18"/>
      <c r="F5" s="18"/>
      <c r="G5" s="18"/>
      <c r="H5" s="19"/>
      <c r="I5" s="126" t="s">
        <v>28</v>
      </c>
      <c r="J5" s="126"/>
      <c r="K5" s="126"/>
      <c r="L5" s="126"/>
      <c r="M5" s="126"/>
      <c r="N5" s="126"/>
      <c r="O5" s="126"/>
      <c r="P5" s="126"/>
      <c r="Q5" s="9"/>
      <c r="R5" s="83">
        <f>SUM(I22:I447)</f>
        <v>263280.14787265874</v>
      </c>
    </row>
    <row r="6" spans="2:26" ht="12.6" customHeight="1" x14ac:dyDescent="0.25">
      <c r="B6" s="41"/>
      <c r="D6" s="11"/>
      <c r="G6" s="11"/>
      <c r="H6" s="20"/>
      <c r="I6" s="126" t="s">
        <v>29</v>
      </c>
      <c r="J6" s="126"/>
      <c r="K6" s="126"/>
      <c r="L6" s="126"/>
      <c r="M6" s="126"/>
      <c r="N6" s="126"/>
      <c r="O6" s="126"/>
      <c r="P6" s="126"/>
      <c r="Q6" s="9"/>
      <c r="R6" s="83">
        <f>SUM(P22:P447)</f>
        <v>276685.64295651857</v>
      </c>
    </row>
    <row r="7" spans="2:26" ht="12.6" customHeight="1" x14ac:dyDescent="0.25">
      <c r="B7" s="41"/>
      <c r="G7" s="11"/>
      <c r="H7" s="20"/>
      <c r="I7" s="126" t="s">
        <v>30</v>
      </c>
      <c r="J7" s="126"/>
      <c r="K7" s="126"/>
      <c r="L7" s="126"/>
      <c r="M7" s="126"/>
      <c r="N7" s="126"/>
      <c r="O7" s="126"/>
      <c r="P7" s="126"/>
      <c r="Q7" s="5"/>
      <c r="R7" s="83">
        <f>SUM(R5:R6)</f>
        <v>539965.79082917725</v>
      </c>
      <c r="S7" s="93"/>
      <c r="T7" s="37"/>
      <c r="U7" s="37"/>
      <c r="V7" s="37"/>
      <c r="W7" s="37"/>
      <c r="X7" s="37"/>
      <c r="Z7" s="2"/>
    </row>
    <row r="8" spans="2:26" ht="12.6" customHeight="1" x14ac:dyDescent="0.25">
      <c r="B8" s="41"/>
      <c r="G8" s="11"/>
      <c r="H8" s="20"/>
      <c r="I8" s="126" t="s">
        <v>31</v>
      </c>
      <c r="J8" s="126"/>
      <c r="K8" s="126"/>
      <c r="L8" s="126"/>
      <c r="M8" s="126"/>
      <c r="N8" s="126"/>
      <c r="O8" s="126"/>
      <c r="P8" s="126"/>
      <c r="Q8" s="3">
        <v>8.3799999999999999E-2</v>
      </c>
      <c r="R8" s="83">
        <f>R5*Q8</f>
        <v>22062.876391728802</v>
      </c>
      <c r="S8" s="93"/>
      <c r="Z8" s="2"/>
    </row>
    <row r="9" spans="2:26" ht="12.6" customHeight="1" x14ac:dyDescent="0.25">
      <c r="B9" s="41"/>
      <c r="G9" s="11"/>
      <c r="H9" s="20"/>
      <c r="I9" s="126" t="s">
        <v>32</v>
      </c>
      <c r="J9" s="126"/>
      <c r="K9" s="126"/>
      <c r="L9" s="126"/>
      <c r="M9" s="126"/>
      <c r="N9" s="126"/>
      <c r="O9" s="126"/>
      <c r="P9" s="126"/>
      <c r="Q9" s="3">
        <v>0.1</v>
      </c>
      <c r="R9" s="83">
        <f>R6*Q9</f>
        <v>27668.564295651857</v>
      </c>
      <c r="S9" s="93"/>
      <c r="T9" s="37"/>
      <c r="U9" s="37"/>
      <c r="V9" s="37"/>
      <c r="W9" s="37"/>
      <c r="X9" s="37"/>
      <c r="Y9" s="4"/>
      <c r="Z9" s="2"/>
    </row>
    <row r="10" spans="2:26" ht="12.6" customHeight="1" x14ac:dyDescent="0.25">
      <c r="B10" s="41"/>
      <c r="D10" s="36"/>
      <c r="G10" s="11"/>
      <c r="H10" s="20"/>
      <c r="I10" s="126" t="s">
        <v>40</v>
      </c>
      <c r="J10" s="126"/>
      <c r="K10" s="126"/>
      <c r="L10" s="126"/>
      <c r="M10" s="126"/>
      <c r="N10" s="126"/>
      <c r="O10" s="126"/>
      <c r="P10" s="126"/>
      <c r="Q10" s="3">
        <v>0.25</v>
      </c>
      <c r="R10" s="83">
        <f>R7*Q10</f>
        <v>134991.44770729431</v>
      </c>
      <c r="T10" s="37"/>
      <c r="U10" s="37"/>
      <c r="V10" s="37"/>
      <c r="W10" s="37"/>
      <c r="X10" s="37"/>
      <c r="Y10" s="4"/>
      <c r="Z10" s="2"/>
    </row>
    <row r="11" spans="2:26" ht="12.6" customHeight="1" x14ac:dyDescent="0.25">
      <c r="B11" s="41"/>
      <c r="D11" s="36"/>
      <c r="G11" s="11"/>
      <c r="H11" s="20"/>
      <c r="I11" s="126" t="s">
        <v>33</v>
      </c>
      <c r="J11" s="126"/>
      <c r="K11" s="126"/>
      <c r="L11" s="126"/>
      <c r="M11" s="126"/>
      <c r="N11" s="126"/>
      <c r="O11" s="126"/>
      <c r="P11" s="126"/>
      <c r="Q11" s="3">
        <v>0.02</v>
      </c>
      <c r="R11" s="83">
        <f>SUM(R7:R10)*Q11</f>
        <v>14493.773584477045</v>
      </c>
      <c r="T11" s="37"/>
      <c r="U11" s="37"/>
      <c r="V11" s="37"/>
      <c r="W11" s="37"/>
      <c r="X11" s="37"/>
      <c r="Y11" s="4"/>
      <c r="Z11" s="2"/>
    </row>
    <row r="12" spans="2:26" ht="12.6" customHeight="1" x14ac:dyDescent="0.25">
      <c r="B12" s="41"/>
      <c r="G12" s="11"/>
      <c r="H12" s="20"/>
      <c r="I12" s="126" t="s">
        <v>34</v>
      </c>
      <c r="J12" s="126"/>
      <c r="K12" s="126"/>
      <c r="L12" s="126"/>
      <c r="M12" s="126"/>
      <c r="N12" s="126"/>
      <c r="O12" s="126"/>
      <c r="P12" s="126"/>
      <c r="Q12" s="3">
        <v>0.05</v>
      </c>
      <c r="R12" s="83">
        <f>R7*Q12</f>
        <v>26998.289541458864</v>
      </c>
      <c r="S12" s="59"/>
      <c r="T12" s="37"/>
      <c r="U12" s="37"/>
      <c r="V12" s="37"/>
      <c r="W12" s="37"/>
      <c r="X12" s="37"/>
      <c r="Y12" s="4"/>
      <c r="Z12" s="2"/>
    </row>
    <row r="13" spans="2:26" x14ac:dyDescent="0.25">
      <c r="B13" s="42"/>
      <c r="C13" s="21"/>
      <c r="D13" s="21"/>
      <c r="E13" s="21"/>
      <c r="F13" s="21"/>
      <c r="G13" s="21"/>
      <c r="H13" s="22"/>
      <c r="I13" s="125" t="s">
        <v>35</v>
      </c>
      <c r="J13" s="125"/>
      <c r="K13" s="125"/>
      <c r="L13" s="125"/>
      <c r="M13" s="125"/>
      <c r="N13" s="125"/>
      <c r="O13" s="125"/>
      <c r="P13" s="125"/>
      <c r="Q13" s="72"/>
      <c r="R13" s="43">
        <f>SUM(R7:R12)</f>
        <v>766180.74234978808</v>
      </c>
      <c r="T13" s="37"/>
      <c r="U13" s="37"/>
      <c r="V13" s="37"/>
      <c r="W13" s="37"/>
      <c r="X13" s="37"/>
      <c r="Z13" s="2"/>
    </row>
    <row r="14" spans="2:26" x14ac:dyDescent="0.25">
      <c r="B14" s="44"/>
      <c r="C14" s="37"/>
      <c r="D14" s="37"/>
      <c r="E14" s="37"/>
      <c r="F14" s="37"/>
      <c r="G14" s="37"/>
      <c r="H14" s="38"/>
      <c r="I14" s="125" t="s">
        <v>41</v>
      </c>
      <c r="J14" s="125"/>
      <c r="K14" s="125"/>
      <c r="L14" s="125"/>
      <c r="M14" s="125"/>
      <c r="N14" s="125"/>
      <c r="O14" s="125"/>
      <c r="P14" s="125"/>
      <c r="Q14" s="72"/>
      <c r="R14" s="45">
        <f>SUM(K22:K447)</f>
        <v>3340.5564218083587</v>
      </c>
    </row>
    <row r="15" spans="2:26" ht="12.75" customHeight="1" x14ac:dyDescent="0.25">
      <c r="B15" s="111" t="s">
        <v>37</v>
      </c>
      <c r="C15" s="112"/>
      <c r="D15" s="16" t="s">
        <v>59</v>
      </c>
      <c r="E15" s="111" t="s">
        <v>36</v>
      </c>
      <c r="F15" s="112"/>
      <c r="G15" s="112"/>
      <c r="H15" s="112"/>
      <c r="I15" s="112"/>
      <c r="J15" s="111" t="s">
        <v>26</v>
      </c>
      <c r="K15" s="112"/>
      <c r="L15" s="112"/>
      <c r="M15" s="112"/>
      <c r="N15" s="112"/>
      <c r="O15" s="112"/>
      <c r="P15" s="112"/>
      <c r="Q15" s="112"/>
      <c r="R15" s="123"/>
    </row>
    <row r="16" spans="2:26" x14ac:dyDescent="0.25">
      <c r="B16" s="97">
        <v>45350</v>
      </c>
      <c r="C16" s="98"/>
      <c r="D16" s="65" t="s">
        <v>410</v>
      </c>
      <c r="E16" s="116" t="s">
        <v>260</v>
      </c>
      <c r="F16" s="98"/>
      <c r="G16" s="98"/>
      <c r="H16" s="98"/>
      <c r="I16" s="117"/>
      <c r="J16" s="116" t="s">
        <v>261</v>
      </c>
      <c r="K16" s="98"/>
      <c r="L16" s="98"/>
      <c r="M16" s="98"/>
      <c r="N16" s="98"/>
      <c r="O16" s="98"/>
      <c r="P16" s="98"/>
      <c r="Q16" s="98"/>
      <c r="R16" s="117"/>
    </row>
    <row r="17" spans="2:19" x14ac:dyDescent="0.25">
      <c r="B17" s="99"/>
      <c r="C17" s="100"/>
      <c r="D17" s="66" t="s">
        <v>372</v>
      </c>
      <c r="E17" s="99"/>
      <c r="F17" s="100"/>
      <c r="G17" s="100"/>
      <c r="H17" s="100"/>
      <c r="I17" s="118"/>
      <c r="J17" s="99"/>
      <c r="K17" s="100"/>
      <c r="L17" s="100"/>
      <c r="M17" s="100"/>
      <c r="N17" s="100"/>
      <c r="O17" s="100"/>
      <c r="P17" s="100"/>
      <c r="Q17" s="100"/>
      <c r="R17" s="118"/>
    </row>
    <row r="18" spans="2:19" ht="12.75" customHeight="1" x14ac:dyDescent="0.25">
      <c r="B18" s="128" t="s">
        <v>5</v>
      </c>
      <c r="C18" s="128" t="s">
        <v>56</v>
      </c>
      <c r="D18" s="124" t="s">
        <v>1</v>
      </c>
      <c r="E18" s="128" t="s">
        <v>6</v>
      </c>
      <c r="F18" s="124" t="s">
        <v>20</v>
      </c>
      <c r="G18" s="124" t="s">
        <v>19</v>
      </c>
      <c r="H18" s="124"/>
      <c r="I18" s="129"/>
      <c r="J18" s="132" t="s">
        <v>18</v>
      </c>
      <c r="K18" s="132"/>
      <c r="L18" s="132"/>
      <c r="M18" s="132"/>
      <c r="N18" s="132"/>
      <c r="O18" s="129"/>
      <c r="P18" s="129"/>
      <c r="Q18" s="131" t="s">
        <v>4</v>
      </c>
      <c r="R18" s="131" t="s">
        <v>66</v>
      </c>
    </row>
    <row r="19" spans="2:19" ht="27.75" customHeight="1" x14ac:dyDescent="0.25">
      <c r="B19" s="124"/>
      <c r="C19" s="128"/>
      <c r="D19" s="124"/>
      <c r="E19" s="124"/>
      <c r="F19" s="124"/>
      <c r="G19" s="28" t="s">
        <v>17</v>
      </c>
      <c r="H19" s="64" t="s">
        <v>17</v>
      </c>
      <c r="I19" s="64" t="s">
        <v>16</v>
      </c>
      <c r="J19" s="63" t="s">
        <v>21</v>
      </c>
      <c r="K19" s="63" t="s">
        <v>7</v>
      </c>
      <c r="L19" s="29" t="s">
        <v>57</v>
      </c>
      <c r="M19" s="29" t="s">
        <v>58</v>
      </c>
      <c r="N19" s="63" t="s">
        <v>58</v>
      </c>
      <c r="O19" s="63" t="s">
        <v>17</v>
      </c>
      <c r="P19" s="64" t="s">
        <v>16</v>
      </c>
      <c r="Q19" s="132"/>
      <c r="R19" s="132"/>
      <c r="S19" s="12"/>
    </row>
    <row r="20" spans="2:19" s="12" customFormat="1" x14ac:dyDescent="0.25">
      <c r="B20" s="62" t="str">
        <f>IF(F20&lt;&gt;"",1+MAX($B$1:B19),"")</f>
        <v/>
      </c>
      <c r="C20" s="30"/>
      <c r="D20" s="31"/>
      <c r="E20" s="24"/>
      <c r="F20" s="32"/>
      <c r="G20" s="33"/>
      <c r="H20" s="33"/>
      <c r="I20" s="34"/>
      <c r="J20" s="34"/>
      <c r="K20" s="24"/>
      <c r="L20" s="24"/>
      <c r="M20" s="34"/>
      <c r="N20" s="34"/>
      <c r="O20" s="33"/>
      <c r="P20" s="34"/>
      <c r="Q20" s="35"/>
      <c r="R20" s="46"/>
    </row>
    <row r="21" spans="2:19" s="12" customFormat="1" x14ac:dyDescent="0.25">
      <c r="B21" s="13" t="str">
        <f>IF(F21&lt;&gt;"",1+MAX($B$1:B20),"")</f>
        <v/>
      </c>
      <c r="C21" s="13" t="s">
        <v>42</v>
      </c>
      <c r="D21" s="6" t="s">
        <v>8</v>
      </c>
      <c r="E21" s="121" t="s">
        <v>61</v>
      </c>
      <c r="F21" s="121"/>
      <c r="G21" s="121"/>
      <c r="H21" s="53">
        <f>SUM(I22:I27)</f>
        <v>0</v>
      </c>
      <c r="I21" s="7">
        <f t="shared" ref="I21" si="0">F21*H21</f>
        <v>0</v>
      </c>
      <c r="J21" s="7"/>
      <c r="K21" s="122" t="s">
        <v>62</v>
      </c>
      <c r="L21" s="122"/>
      <c r="M21" s="122"/>
      <c r="N21" s="122"/>
      <c r="O21" s="53">
        <f>SUM(P22:P27)</f>
        <v>47000</v>
      </c>
      <c r="P21" s="7">
        <f t="shared" ref="P21" si="1">F21*O21</f>
        <v>0</v>
      </c>
      <c r="Q21" s="47">
        <f>SUM(Q22:Q27)</f>
        <v>47000</v>
      </c>
      <c r="R21" s="47">
        <f>(Q21)+(H21*$Q$8)+(O21*$Q$9)+(Q21*$Q$10)+($Q$11*((Q21)+(H21*$Q$8)+(O21*$Q$9)+(Q21*$Q$10)))+(Q21*$Q$12)</f>
        <v>67069</v>
      </c>
    </row>
    <row r="22" spans="2:19" x14ac:dyDescent="0.25">
      <c r="B22" s="48"/>
      <c r="C22" s="52"/>
      <c r="D22" s="8"/>
      <c r="E22" s="23"/>
      <c r="F22" s="27"/>
      <c r="G22" s="17"/>
      <c r="H22" s="17">
        <f>G22*$T$2</f>
        <v>0</v>
      </c>
      <c r="I22" s="17">
        <f t="shared" ref="I22" si="2">F22*H22</f>
        <v>0</v>
      </c>
      <c r="J22" s="15"/>
      <c r="K22" s="10">
        <f>F22*J22</f>
        <v>0</v>
      </c>
      <c r="L22" s="10"/>
      <c r="M22" s="17"/>
      <c r="N22" s="17">
        <f>M22*$U$2</f>
        <v>0</v>
      </c>
      <c r="O22" s="17">
        <f>J22*N22</f>
        <v>0</v>
      </c>
      <c r="P22" s="17">
        <f>F22*O22</f>
        <v>0</v>
      </c>
      <c r="Q22" s="17">
        <f t="shared" ref="Q22" si="3">I22+P22</f>
        <v>0</v>
      </c>
      <c r="R22" s="49"/>
      <c r="S22" s="12"/>
    </row>
    <row r="23" spans="2:19" s="12" customFormat="1" x14ac:dyDescent="0.25">
      <c r="B23" s="48">
        <f>IF(F23&lt;&gt;"",1+MAX($B$22:B22),"")</f>
        <v>1</v>
      </c>
      <c r="C23" s="52"/>
      <c r="D23" s="8" t="s">
        <v>374</v>
      </c>
      <c r="E23" s="23" t="s">
        <v>60</v>
      </c>
      <c r="F23" s="39">
        <v>1</v>
      </c>
      <c r="G23" s="85"/>
      <c r="H23" s="85">
        <f t="shared" ref="H23:H27" si="4">G23*$T$2</f>
        <v>0</v>
      </c>
      <c r="I23" s="85">
        <f t="shared" ref="I23:I27" si="5">F23*H23</f>
        <v>0</v>
      </c>
      <c r="J23" s="86"/>
      <c r="K23" s="87">
        <f t="shared" ref="K23:K27" si="6">F23*J23</f>
        <v>0</v>
      </c>
      <c r="L23" s="87"/>
      <c r="M23" s="85"/>
      <c r="N23" s="85">
        <f t="shared" ref="N23:N27" si="7">M23*$U$2</f>
        <v>0</v>
      </c>
      <c r="O23" s="17">
        <v>3500</v>
      </c>
      <c r="P23" s="17">
        <f t="shared" ref="P23:P27" si="8">F23*O23</f>
        <v>3500</v>
      </c>
      <c r="Q23" s="17">
        <f t="shared" ref="Q23:Q27" si="9">I23+P23</f>
        <v>3500</v>
      </c>
      <c r="R23" s="49"/>
    </row>
    <row r="24" spans="2:19" s="12" customFormat="1" x14ac:dyDescent="0.25">
      <c r="B24" s="48">
        <f>IF(F24&lt;&gt;"",1+MAX($B$22:B23),"")</f>
        <v>2</v>
      </c>
      <c r="C24" s="52"/>
      <c r="D24" s="8" t="s">
        <v>375</v>
      </c>
      <c r="E24" s="23" t="s">
        <v>60</v>
      </c>
      <c r="F24" s="39">
        <v>1</v>
      </c>
      <c r="G24" s="85"/>
      <c r="H24" s="85">
        <f t="shared" si="4"/>
        <v>0</v>
      </c>
      <c r="I24" s="85">
        <f t="shared" ref="I24" si="10">F24*H24</f>
        <v>0</v>
      </c>
      <c r="J24" s="86"/>
      <c r="K24" s="87">
        <f t="shared" ref="K24" si="11">F24*J24</f>
        <v>0</v>
      </c>
      <c r="L24" s="87"/>
      <c r="M24" s="85"/>
      <c r="N24" s="85">
        <f t="shared" si="7"/>
        <v>0</v>
      </c>
      <c r="O24" s="17">
        <v>29500</v>
      </c>
      <c r="P24" s="17">
        <f t="shared" ref="P24" si="12">F24*O24</f>
        <v>29500</v>
      </c>
      <c r="Q24" s="17">
        <f t="shared" ref="Q24" si="13">I24+P24</f>
        <v>29500</v>
      </c>
      <c r="R24" s="49"/>
    </row>
    <row r="25" spans="2:19" s="12" customFormat="1" x14ac:dyDescent="0.25">
      <c r="B25" s="48">
        <f>IF(F25&lt;&gt;"",1+MAX($B$22:B24),"")</f>
        <v>3</v>
      </c>
      <c r="C25" s="52"/>
      <c r="D25" s="8" t="s">
        <v>376</v>
      </c>
      <c r="E25" s="23" t="s">
        <v>60</v>
      </c>
      <c r="F25" s="39">
        <v>1</v>
      </c>
      <c r="G25" s="85"/>
      <c r="H25" s="85">
        <f t="shared" si="4"/>
        <v>0</v>
      </c>
      <c r="I25" s="85">
        <f t="shared" ref="I25" si="14">F25*H25</f>
        <v>0</v>
      </c>
      <c r="J25" s="86"/>
      <c r="K25" s="87">
        <f t="shared" ref="K25" si="15">F25*J25</f>
        <v>0</v>
      </c>
      <c r="L25" s="87"/>
      <c r="M25" s="85"/>
      <c r="N25" s="85">
        <f t="shared" si="7"/>
        <v>0</v>
      </c>
      <c r="O25" s="17">
        <v>9500</v>
      </c>
      <c r="P25" s="17">
        <f t="shared" ref="P25" si="16">F25*O25</f>
        <v>9500</v>
      </c>
      <c r="Q25" s="17">
        <f t="shared" ref="Q25" si="17">I25+P25</f>
        <v>9500</v>
      </c>
      <c r="R25" s="49"/>
    </row>
    <row r="26" spans="2:19" s="12" customFormat="1" x14ac:dyDescent="0.25">
      <c r="B26" s="48">
        <f>IF(F26&lt;&gt;"",1+MAX($B$22:B25),"")</f>
        <v>4</v>
      </c>
      <c r="C26" s="52"/>
      <c r="D26" s="8" t="s">
        <v>377</v>
      </c>
      <c r="E26" s="23" t="s">
        <v>60</v>
      </c>
      <c r="F26" s="39">
        <v>1</v>
      </c>
      <c r="G26" s="85"/>
      <c r="H26" s="85">
        <f t="shared" si="4"/>
        <v>0</v>
      </c>
      <c r="I26" s="85">
        <f t="shared" ref="I26" si="18">F26*H26</f>
        <v>0</v>
      </c>
      <c r="J26" s="86"/>
      <c r="K26" s="87">
        <f t="shared" ref="K26" si="19">F26*J26</f>
        <v>0</v>
      </c>
      <c r="L26" s="87"/>
      <c r="M26" s="85"/>
      <c r="N26" s="85">
        <f t="shared" si="7"/>
        <v>0</v>
      </c>
      <c r="O26" s="17">
        <v>4500</v>
      </c>
      <c r="P26" s="17">
        <f t="shared" ref="P26" si="20">F26*O26</f>
        <v>4500</v>
      </c>
      <c r="Q26" s="17">
        <f t="shared" ref="Q26" si="21">I26+P26</f>
        <v>4500</v>
      </c>
      <c r="R26" s="49"/>
    </row>
    <row r="27" spans="2:19" s="12" customFormat="1" x14ac:dyDescent="0.25">
      <c r="B27" s="48" t="str">
        <f>IF(F27&lt;&gt;"",1+MAX($B$22:B26),"")</f>
        <v/>
      </c>
      <c r="C27" s="52"/>
      <c r="D27" s="8"/>
      <c r="E27" s="23"/>
      <c r="F27" s="39"/>
      <c r="G27" s="17"/>
      <c r="H27" s="17">
        <f t="shared" si="4"/>
        <v>0</v>
      </c>
      <c r="I27" s="17">
        <f t="shared" si="5"/>
        <v>0</v>
      </c>
      <c r="J27" s="15"/>
      <c r="K27" s="10">
        <f t="shared" si="6"/>
        <v>0</v>
      </c>
      <c r="L27" s="10"/>
      <c r="M27" s="17"/>
      <c r="N27" s="17">
        <f t="shared" si="7"/>
        <v>0</v>
      </c>
      <c r="O27" s="17">
        <f t="shared" ref="O27" si="22">J27*N27</f>
        <v>0</v>
      </c>
      <c r="P27" s="17">
        <f t="shared" si="8"/>
        <v>0</v>
      </c>
      <c r="Q27" s="17">
        <f t="shared" si="9"/>
        <v>0</v>
      </c>
      <c r="R27" s="49"/>
    </row>
    <row r="28" spans="2:19" s="12" customFormat="1" ht="12.75" customHeight="1" x14ac:dyDescent="0.25">
      <c r="B28" s="13" t="str">
        <f>IF(F28&lt;&gt;"",1+MAX($B$22:B27),"")</f>
        <v/>
      </c>
      <c r="C28" s="13" t="s">
        <v>43</v>
      </c>
      <c r="D28" s="6" t="s">
        <v>9</v>
      </c>
      <c r="E28" s="121" t="s">
        <v>61</v>
      </c>
      <c r="F28" s="121"/>
      <c r="G28" s="121"/>
      <c r="H28" s="53">
        <f>SUM(I29:I64)</f>
        <v>1326.62508</v>
      </c>
      <c r="I28" s="7">
        <f t="shared" ref="I28:I64" si="23">F28*H28</f>
        <v>0</v>
      </c>
      <c r="J28" s="7"/>
      <c r="K28" s="122" t="s">
        <v>62</v>
      </c>
      <c r="L28" s="122"/>
      <c r="M28" s="122"/>
      <c r="N28" s="122"/>
      <c r="O28" s="53">
        <f>SUM(P29:P64)</f>
        <v>19213.895131225199</v>
      </c>
      <c r="P28" s="7">
        <f t="shared" ref="P28:P64" si="24">F28*O28</f>
        <v>0</v>
      </c>
      <c r="Q28" s="47">
        <f>SUM(Q29:Q64)</f>
        <v>20540.520211225205</v>
      </c>
      <c r="R28" s="47">
        <f>(Q28)+(H28*$Q$8)+(O28*$Q$9)+(Q28*$Q$10)+($Q$11*((Q28)+(H28*$Q$8)+(O28*$Q$9)+(Q28*$Q$10)))+(Q28*$Q$12)</f>
        <v>29289.40118859645</v>
      </c>
    </row>
    <row r="29" spans="2:19" x14ac:dyDescent="0.25">
      <c r="B29" s="48" t="str">
        <f>IF(F29&lt;&gt;"",1+MAX($B$22:B28),"")</f>
        <v/>
      </c>
      <c r="C29" s="52"/>
      <c r="D29" s="8"/>
      <c r="E29" s="23"/>
      <c r="F29" s="39"/>
      <c r="G29" s="17"/>
      <c r="H29" s="17">
        <f t="shared" ref="H29:H64" si="25">G29*$T$2</f>
        <v>0</v>
      </c>
      <c r="I29" s="17">
        <f t="shared" si="23"/>
        <v>0</v>
      </c>
      <c r="J29" s="15"/>
      <c r="K29" s="10">
        <f t="shared" ref="K29:K64" si="26">F29*J29</f>
        <v>0</v>
      </c>
      <c r="L29" s="10"/>
      <c r="M29" s="17"/>
      <c r="N29" s="17">
        <f t="shared" ref="N29:N64" si="27">M29*$U$2</f>
        <v>0</v>
      </c>
      <c r="O29" s="17">
        <f t="shared" ref="O29:O64" si="28">J29*N29</f>
        <v>0</v>
      </c>
      <c r="P29" s="17">
        <f t="shared" si="24"/>
        <v>0</v>
      </c>
      <c r="Q29" s="17">
        <f t="shared" ref="Q29:Q64" si="29">I29+P29</f>
        <v>0</v>
      </c>
      <c r="R29" s="49"/>
      <c r="S29" s="12"/>
    </row>
    <row r="30" spans="2:19" x14ac:dyDescent="0.25">
      <c r="B30" s="67" t="str">
        <f>IF(F30&lt;&gt;"",1+MAX($B$22:B29),"")</f>
        <v/>
      </c>
      <c r="C30" s="68"/>
      <c r="D30" s="69" t="s">
        <v>134</v>
      </c>
      <c r="E30" s="23"/>
      <c r="F30" s="39"/>
      <c r="G30" s="17"/>
      <c r="H30" s="17">
        <f t="shared" si="25"/>
        <v>0</v>
      </c>
      <c r="I30" s="17">
        <f t="shared" si="23"/>
        <v>0</v>
      </c>
      <c r="J30" s="15"/>
      <c r="K30" s="10">
        <f t="shared" si="26"/>
        <v>0</v>
      </c>
      <c r="L30" s="10"/>
      <c r="M30" s="17"/>
      <c r="N30" s="17">
        <f t="shared" si="27"/>
        <v>0</v>
      </c>
      <c r="O30" s="17">
        <f t="shared" si="28"/>
        <v>0</v>
      </c>
      <c r="P30" s="17">
        <f t="shared" si="24"/>
        <v>0</v>
      </c>
      <c r="Q30" s="17">
        <f t="shared" si="29"/>
        <v>0</v>
      </c>
      <c r="R30" s="49"/>
    </row>
    <row r="31" spans="2:19" x14ac:dyDescent="0.25">
      <c r="B31" s="48">
        <f>IF(F31&lt;&gt;"",1+MAX($B$22:B30),"")</f>
        <v>5</v>
      </c>
      <c r="C31" s="119" t="s">
        <v>267</v>
      </c>
      <c r="D31" s="8" t="s">
        <v>157</v>
      </c>
      <c r="E31" s="23" t="s">
        <v>96</v>
      </c>
      <c r="F31" s="39">
        <v>9</v>
      </c>
      <c r="G31" s="85"/>
      <c r="H31" s="85">
        <f t="shared" si="25"/>
        <v>0</v>
      </c>
      <c r="I31" s="85">
        <f t="shared" si="23"/>
        <v>0</v>
      </c>
      <c r="J31" s="15">
        <v>2.02</v>
      </c>
      <c r="K31" s="10">
        <f t="shared" si="26"/>
        <v>18.18</v>
      </c>
      <c r="L31" s="10" t="s">
        <v>378</v>
      </c>
      <c r="M31" s="17">
        <v>42.1</v>
      </c>
      <c r="N31" s="17">
        <f t="shared" si="27"/>
        <v>54.814200000000007</v>
      </c>
      <c r="O31" s="17">
        <f t="shared" si="28"/>
        <v>110.72468400000001</v>
      </c>
      <c r="P31" s="17">
        <f t="shared" si="24"/>
        <v>996.52215600000011</v>
      </c>
      <c r="Q31" s="17">
        <f t="shared" si="29"/>
        <v>996.52215600000011</v>
      </c>
      <c r="R31" s="49"/>
    </row>
    <row r="32" spans="2:19" x14ac:dyDescent="0.25">
      <c r="B32" s="48">
        <f>IF(F32&lt;&gt;"",1+MAX($B$22:B31),"")</f>
        <v>6</v>
      </c>
      <c r="C32" s="119"/>
      <c r="D32" s="8" t="s">
        <v>158</v>
      </c>
      <c r="E32" s="23" t="s">
        <v>96</v>
      </c>
      <c r="F32" s="39">
        <v>5</v>
      </c>
      <c r="G32" s="85"/>
      <c r="H32" s="85">
        <f t="shared" si="25"/>
        <v>0</v>
      </c>
      <c r="I32" s="85">
        <f t="shared" si="23"/>
        <v>0</v>
      </c>
      <c r="J32" s="15">
        <v>0.38</v>
      </c>
      <c r="K32" s="10">
        <f t="shared" si="26"/>
        <v>1.9</v>
      </c>
      <c r="L32" s="10" t="s">
        <v>378</v>
      </c>
      <c r="M32" s="17">
        <v>42.1</v>
      </c>
      <c r="N32" s="17">
        <f t="shared" si="27"/>
        <v>54.814200000000007</v>
      </c>
      <c r="O32" s="17">
        <f t="shared" si="28"/>
        <v>20.829396000000003</v>
      </c>
      <c r="P32" s="17">
        <f t="shared" si="24"/>
        <v>104.14698000000001</v>
      </c>
      <c r="Q32" s="17">
        <f t="shared" si="29"/>
        <v>104.14698000000001</v>
      </c>
      <c r="R32" s="49"/>
    </row>
    <row r="33" spans="2:19" x14ac:dyDescent="0.25">
      <c r="B33" s="48">
        <f>IF(F33&lt;&gt;"",1+MAX($B$22:B32),"")</f>
        <v>7</v>
      </c>
      <c r="C33" s="119"/>
      <c r="D33" s="8" t="s">
        <v>159</v>
      </c>
      <c r="E33" s="23" t="s">
        <v>73</v>
      </c>
      <c r="F33" s="39">
        <v>40.22</v>
      </c>
      <c r="G33" s="85"/>
      <c r="H33" s="85">
        <f t="shared" si="25"/>
        <v>0</v>
      </c>
      <c r="I33" s="85">
        <f t="shared" si="23"/>
        <v>0</v>
      </c>
      <c r="J33" s="15">
        <v>4.9000000000000002E-2</v>
      </c>
      <c r="K33" s="10">
        <f t="shared" si="26"/>
        <v>1.97078</v>
      </c>
      <c r="L33" s="10" t="s">
        <v>378</v>
      </c>
      <c r="M33" s="17">
        <v>42.1</v>
      </c>
      <c r="N33" s="17">
        <f t="shared" si="27"/>
        <v>54.814200000000007</v>
      </c>
      <c r="O33" s="17">
        <f t="shared" si="28"/>
        <v>2.6858958000000004</v>
      </c>
      <c r="P33" s="17">
        <f t="shared" si="24"/>
        <v>108.02672907600001</v>
      </c>
      <c r="Q33" s="17">
        <f t="shared" si="29"/>
        <v>108.02672907600001</v>
      </c>
      <c r="R33" s="49"/>
    </row>
    <row r="34" spans="2:19" x14ac:dyDescent="0.25">
      <c r="B34" s="48">
        <f>IF(F34&lt;&gt;"",1+MAX($B$22:B33),"")</f>
        <v>8</v>
      </c>
      <c r="C34" s="119"/>
      <c r="D34" s="8" t="s">
        <v>160</v>
      </c>
      <c r="E34" s="23" t="s">
        <v>78</v>
      </c>
      <c r="F34" s="39">
        <v>25.88</v>
      </c>
      <c r="G34" s="85"/>
      <c r="H34" s="85">
        <f t="shared" si="25"/>
        <v>0</v>
      </c>
      <c r="I34" s="85">
        <f t="shared" si="23"/>
        <v>0</v>
      </c>
      <c r="J34" s="15">
        <v>0.16500000000000001</v>
      </c>
      <c r="K34" s="10">
        <f t="shared" si="26"/>
        <v>4.2702</v>
      </c>
      <c r="L34" s="10" t="s">
        <v>378</v>
      </c>
      <c r="M34" s="17">
        <v>42.1</v>
      </c>
      <c r="N34" s="17">
        <f t="shared" si="27"/>
        <v>54.814200000000007</v>
      </c>
      <c r="O34" s="17">
        <f t="shared" si="28"/>
        <v>9.0443430000000014</v>
      </c>
      <c r="P34" s="17">
        <f t="shared" si="24"/>
        <v>234.06759684000002</v>
      </c>
      <c r="Q34" s="17">
        <f t="shared" si="29"/>
        <v>234.06759684000002</v>
      </c>
      <c r="R34" s="49"/>
    </row>
    <row r="35" spans="2:19" x14ac:dyDescent="0.25">
      <c r="B35" s="48">
        <f>IF(F35&lt;&gt;"",1+MAX($B$22:B34),"")</f>
        <v>9</v>
      </c>
      <c r="C35" s="119"/>
      <c r="D35" s="8" t="s">
        <v>161</v>
      </c>
      <c r="E35" s="23" t="s">
        <v>73</v>
      </c>
      <c r="F35" s="39">
        <v>56.99</v>
      </c>
      <c r="G35" s="85"/>
      <c r="H35" s="85">
        <f t="shared" si="25"/>
        <v>0</v>
      </c>
      <c r="I35" s="85">
        <f t="shared" si="23"/>
        <v>0</v>
      </c>
      <c r="J35" s="15">
        <v>0.22500000000000001</v>
      </c>
      <c r="K35" s="10">
        <f t="shared" si="26"/>
        <v>12.822750000000001</v>
      </c>
      <c r="L35" s="10" t="s">
        <v>378</v>
      </c>
      <c r="M35" s="17">
        <v>42.1</v>
      </c>
      <c r="N35" s="17">
        <f t="shared" si="27"/>
        <v>54.814200000000007</v>
      </c>
      <c r="O35" s="17">
        <f t="shared" si="28"/>
        <v>12.333195000000002</v>
      </c>
      <c r="P35" s="17">
        <f t="shared" si="24"/>
        <v>702.86878305000016</v>
      </c>
      <c r="Q35" s="17">
        <f t="shared" si="29"/>
        <v>702.86878305000016</v>
      </c>
      <c r="R35" s="49"/>
    </row>
    <row r="36" spans="2:19" x14ac:dyDescent="0.25">
      <c r="B36" s="48">
        <f>IF(F36&lt;&gt;"",1+MAX($B$22:B35),"")</f>
        <v>10</v>
      </c>
      <c r="C36" s="119"/>
      <c r="D36" s="8" t="s">
        <v>162</v>
      </c>
      <c r="E36" s="23" t="s">
        <v>73</v>
      </c>
      <c r="F36" s="39">
        <v>608</v>
      </c>
      <c r="G36" s="85"/>
      <c r="H36" s="85">
        <f t="shared" si="25"/>
        <v>0</v>
      </c>
      <c r="I36" s="85">
        <f t="shared" si="23"/>
        <v>0</v>
      </c>
      <c r="J36" s="15">
        <v>5.3999999999999999E-2</v>
      </c>
      <c r="K36" s="10">
        <f t="shared" si="26"/>
        <v>32.832000000000001</v>
      </c>
      <c r="L36" s="10" t="s">
        <v>378</v>
      </c>
      <c r="M36" s="17">
        <v>42.1</v>
      </c>
      <c r="N36" s="17">
        <f t="shared" si="27"/>
        <v>54.814200000000007</v>
      </c>
      <c r="O36" s="17">
        <f t="shared" si="28"/>
        <v>2.9599668000000001</v>
      </c>
      <c r="P36" s="17">
        <f t="shared" si="24"/>
        <v>1799.6598144</v>
      </c>
      <c r="Q36" s="17">
        <f t="shared" si="29"/>
        <v>1799.6598144</v>
      </c>
      <c r="R36" s="49"/>
    </row>
    <row r="37" spans="2:19" x14ac:dyDescent="0.25">
      <c r="B37" s="48">
        <f>IF(F37&lt;&gt;"",1+MAX($B$22:B36),"")</f>
        <v>11</v>
      </c>
      <c r="C37" s="119"/>
      <c r="D37" s="8" t="s">
        <v>163</v>
      </c>
      <c r="E37" s="23" t="s">
        <v>96</v>
      </c>
      <c r="F37" s="39">
        <v>3</v>
      </c>
      <c r="G37" s="85"/>
      <c r="H37" s="85">
        <f t="shared" si="25"/>
        <v>0</v>
      </c>
      <c r="I37" s="85">
        <f t="shared" si="23"/>
        <v>0</v>
      </c>
      <c r="J37" s="15">
        <v>2.2749999999999999</v>
      </c>
      <c r="K37" s="10">
        <f t="shared" si="26"/>
        <v>6.8249999999999993</v>
      </c>
      <c r="L37" s="10" t="s">
        <v>378</v>
      </c>
      <c r="M37" s="17">
        <v>42.1</v>
      </c>
      <c r="N37" s="17">
        <f t="shared" si="27"/>
        <v>54.814200000000007</v>
      </c>
      <c r="O37" s="17">
        <f t="shared" si="28"/>
        <v>124.70230500000001</v>
      </c>
      <c r="P37" s="17">
        <f t="shared" si="24"/>
        <v>374.10691500000001</v>
      </c>
      <c r="Q37" s="17">
        <f t="shared" si="29"/>
        <v>374.10691500000001</v>
      </c>
      <c r="R37" s="49"/>
    </row>
    <row r="38" spans="2:19" x14ac:dyDescent="0.25">
      <c r="B38" s="48">
        <f>IF(F38&lt;&gt;"",1+MAX($B$22:B37),"")</f>
        <v>12</v>
      </c>
      <c r="C38" s="119"/>
      <c r="D38" s="8" t="s">
        <v>226</v>
      </c>
      <c r="E38" s="23" t="s">
        <v>73</v>
      </c>
      <c r="F38" s="39">
        <f>496*1.014</f>
        <v>502.94400000000002</v>
      </c>
      <c r="G38" s="85"/>
      <c r="H38" s="85">
        <f t="shared" si="25"/>
        <v>0</v>
      </c>
      <c r="I38" s="85">
        <f t="shared" si="23"/>
        <v>0</v>
      </c>
      <c r="J38" s="15">
        <v>5.3999999999999999E-2</v>
      </c>
      <c r="K38" s="10">
        <f t="shared" si="26"/>
        <v>27.158975999999999</v>
      </c>
      <c r="L38" s="10" t="s">
        <v>378</v>
      </c>
      <c r="M38" s="17">
        <v>42.1</v>
      </c>
      <c r="N38" s="17">
        <f t="shared" si="27"/>
        <v>54.814200000000007</v>
      </c>
      <c r="O38" s="17">
        <f t="shared" si="28"/>
        <v>2.9599668000000001</v>
      </c>
      <c r="P38" s="17">
        <f t="shared" si="24"/>
        <v>1488.6975422592002</v>
      </c>
      <c r="Q38" s="17">
        <f t="shared" si="29"/>
        <v>1488.6975422592002</v>
      </c>
      <c r="R38" s="49"/>
    </row>
    <row r="39" spans="2:19" x14ac:dyDescent="0.25">
      <c r="B39" s="48">
        <f>IF(F39&lt;&gt;"",1+MAX($B$22:B38),"")</f>
        <v>13</v>
      </c>
      <c r="C39" s="119"/>
      <c r="D39" s="8" t="s">
        <v>227</v>
      </c>
      <c r="E39" s="23" t="s">
        <v>73</v>
      </c>
      <c r="F39" s="39">
        <f>684</f>
        <v>684</v>
      </c>
      <c r="G39" s="85"/>
      <c r="H39" s="85">
        <f t="shared" si="25"/>
        <v>0</v>
      </c>
      <c r="I39" s="85">
        <f t="shared" si="23"/>
        <v>0</v>
      </c>
      <c r="J39" s="15">
        <v>4.9000000000000002E-2</v>
      </c>
      <c r="K39" s="10">
        <f t="shared" si="26"/>
        <v>33.515999999999998</v>
      </c>
      <c r="L39" s="10" t="s">
        <v>378</v>
      </c>
      <c r="M39" s="17">
        <v>42.1</v>
      </c>
      <c r="N39" s="17">
        <f t="shared" si="27"/>
        <v>54.814200000000007</v>
      </c>
      <c r="O39" s="17">
        <f t="shared" si="28"/>
        <v>2.6858958000000004</v>
      </c>
      <c r="P39" s="17">
        <f t="shared" si="24"/>
        <v>1837.1527272000003</v>
      </c>
      <c r="Q39" s="17">
        <f t="shared" si="29"/>
        <v>1837.1527272000003</v>
      </c>
      <c r="R39" s="49"/>
    </row>
    <row r="40" spans="2:19" x14ac:dyDescent="0.25">
      <c r="B40" s="48">
        <f>IF(F40&lt;&gt;"",1+MAX($B$22:B39),"")</f>
        <v>14</v>
      </c>
      <c r="C40" s="119"/>
      <c r="D40" s="8" t="s">
        <v>228</v>
      </c>
      <c r="E40" s="23" t="s">
        <v>73</v>
      </c>
      <c r="F40" s="39">
        <f>684</f>
        <v>684</v>
      </c>
      <c r="G40" s="85"/>
      <c r="H40" s="85">
        <f t="shared" si="25"/>
        <v>0</v>
      </c>
      <c r="I40" s="85">
        <f t="shared" si="23"/>
        <v>0</v>
      </c>
      <c r="J40" s="15">
        <v>5.1999999999999998E-2</v>
      </c>
      <c r="K40" s="10">
        <f t="shared" si="26"/>
        <v>35.567999999999998</v>
      </c>
      <c r="L40" s="10" t="s">
        <v>378</v>
      </c>
      <c r="M40" s="17">
        <v>42.1</v>
      </c>
      <c r="N40" s="17">
        <f t="shared" si="27"/>
        <v>54.814200000000007</v>
      </c>
      <c r="O40" s="17">
        <f t="shared" si="28"/>
        <v>2.8503384</v>
      </c>
      <c r="P40" s="17">
        <f t="shared" si="24"/>
        <v>1949.6314656</v>
      </c>
      <c r="Q40" s="17">
        <f t="shared" si="29"/>
        <v>1949.6314656</v>
      </c>
      <c r="R40" s="49"/>
    </row>
    <row r="41" spans="2:19" x14ac:dyDescent="0.25">
      <c r="B41" s="48">
        <f>IF(F41&lt;&gt;"",1+MAX($B$22:B40),"")</f>
        <v>15</v>
      </c>
      <c r="C41" s="119"/>
      <c r="D41" s="8" t="s">
        <v>229</v>
      </c>
      <c r="E41" s="23" t="s">
        <v>73</v>
      </c>
      <c r="F41" s="39">
        <f>2078-516+250</f>
        <v>1812</v>
      </c>
      <c r="G41" s="85"/>
      <c r="H41" s="85">
        <f t="shared" si="25"/>
        <v>0</v>
      </c>
      <c r="I41" s="85">
        <f t="shared" si="23"/>
        <v>0</v>
      </c>
      <c r="J41" s="15">
        <v>5.3999999999999999E-2</v>
      </c>
      <c r="K41" s="10">
        <f t="shared" si="26"/>
        <v>97.847999999999999</v>
      </c>
      <c r="L41" s="10" t="s">
        <v>378</v>
      </c>
      <c r="M41" s="17">
        <v>42.1</v>
      </c>
      <c r="N41" s="17">
        <f t="shared" si="27"/>
        <v>54.814200000000007</v>
      </c>
      <c r="O41" s="17">
        <f t="shared" si="28"/>
        <v>2.9599668000000001</v>
      </c>
      <c r="P41" s="17">
        <f t="shared" si="24"/>
        <v>5363.4598415999999</v>
      </c>
      <c r="Q41" s="17">
        <f t="shared" si="29"/>
        <v>5363.4598415999999</v>
      </c>
      <c r="R41" s="49"/>
    </row>
    <row r="42" spans="2:19" x14ac:dyDescent="0.25">
      <c r="B42" s="48">
        <f>IF(F42&lt;&gt;"",1+MAX($B$22:B41),"")</f>
        <v>16</v>
      </c>
      <c r="C42" s="119" t="s">
        <v>272</v>
      </c>
      <c r="D42" s="8" t="s">
        <v>273</v>
      </c>
      <c r="E42" s="23" t="s">
        <v>96</v>
      </c>
      <c r="F42" s="39">
        <f>52-17</f>
        <v>35</v>
      </c>
      <c r="G42" s="85"/>
      <c r="H42" s="85">
        <f t="shared" si="25"/>
        <v>0</v>
      </c>
      <c r="I42" s="85">
        <f t="shared" si="23"/>
        <v>0</v>
      </c>
      <c r="J42" s="15">
        <v>0.36499999999999999</v>
      </c>
      <c r="K42" s="10">
        <f t="shared" si="26"/>
        <v>12.775</v>
      </c>
      <c r="L42" s="10" t="s">
        <v>378</v>
      </c>
      <c r="M42" s="17">
        <v>42.1</v>
      </c>
      <c r="N42" s="17">
        <f t="shared" si="27"/>
        <v>54.814200000000007</v>
      </c>
      <c r="O42" s="17">
        <f t="shared" si="28"/>
        <v>20.007183000000001</v>
      </c>
      <c r="P42" s="17">
        <f t="shared" si="24"/>
        <v>700.25140500000009</v>
      </c>
      <c r="Q42" s="17">
        <f t="shared" si="29"/>
        <v>700.25140500000009</v>
      </c>
      <c r="R42" s="49"/>
      <c r="S42" s="12"/>
    </row>
    <row r="43" spans="2:19" x14ac:dyDescent="0.25">
      <c r="B43" s="48">
        <f>IF(F43&lt;&gt;"",1+MAX($B$22:B42),"")</f>
        <v>17</v>
      </c>
      <c r="C43" s="119"/>
      <c r="D43" s="8" t="s">
        <v>274</v>
      </c>
      <c r="E43" s="23" t="s">
        <v>96</v>
      </c>
      <c r="F43" s="39">
        <f>35-10</f>
        <v>25</v>
      </c>
      <c r="G43" s="85"/>
      <c r="H43" s="85">
        <f t="shared" si="25"/>
        <v>0</v>
      </c>
      <c r="I43" s="85">
        <f t="shared" si="23"/>
        <v>0</v>
      </c>
      <c r="J43" s="15">
        <v>0.28499999999999998</v>
      </c>
      <c r="K43" s="10">
        <f t="shared" si="26"/>
        <v>7.1249999999999991</v>
      </c>
      <c r="L43" s="10" t="s">
        <v>378</v>
      </c>
      <c r="M43" s="17">
        <v>42.1</v>
      </c>
      <c r="N43" s="17">
        <f t="shared" si="27"/>
        <v>54.814200000000007</v>
      </c>
      <c r="O43" s="17">
        <f t="shared" si="28"/>
        <v>15.622047</v>
      </c>
      <c r="P43" s="17">
        <f t="shared" si="24"/>
        <v>390.551175</v>
      </c>
      <c r="Q43" s="17">
        <f t="shared" si="29"/>
        <v>390.551175</v>
      </c>
      <c r="R43" s="49"/>
      <c r="S43" s="12"/>
    </row>
    <row r="44" spans="2:19" x14ac:dyDescent="0.25">
      <c r="B44" s="48">
        <f>IF(F44&lt;&gt;"",1+MAX($B$22:B43),"")</f>
        <v>18</v>
      </c>
      <c r="C44" s="119"/>
      <c r="D44" s="8" t="s">
        <v>275</v>
      </c>
      <c r="E44" s="23" t="s">
        <v>96</v>
      </c>
      <c r="F44" s="39">
        <f>24-9</f>
        <v>15</v>
      </c>
      <c r="G44" s="85"/>
      <c r="H44" s="85">
        <f t="shared" si="25"/>
        <v>0</v>
      </c>
      <c r="I44" s="85">
        <f t="shared" si="23"/>
        <v>0</v>
      </c>
      <c r="J44" s="15">
        <v>0.28499999999999998</v>
      </c>
      <c r="K44" s="10">
        <f t="shared" si="26"/>
        <v>4.2749999999999995</v>
      </c>
      <c r="L44" s="10" t="s">
        <v>378</v>
      </c>
      <c r="M44" s="17">
        <v>42.1</v>
      </c>
      <c r="N44" s="17">
        <f t="shared" si="27"/>
        <v>54.814200000000007</v>
      </c>
      <c r="O44" s="17">
        <f t="shared" si="28"/>
        <v>15.622047</v>
      </c>
      <c r="P44" s="17">
        <f t="shared" si="24"/>
        <v>234.33070499999999</v>
      </c>
      <c r="Q44" s="17">
        <f t="shared" si="29"/>
        <v>234.33070499999999</v>
      </c>
      <c r="R44" s="49"/>
      <c r="S44" s="12"/>
    </row>
    <row r="45" spans="2:19" x14ac:dyDescent="0.25">
      <c r="B45" s="48">
        <f>IF(F45&lt;&gt;"",1+MAX($B$22:B44),"")</f>
        <v>19</v>
      </c>
      <c r="C45" s="119"/>
      <c r="D45" s="8" t="s">
        <v>276</v>
      </c>
      <c r="E45" s="23" t="s">
        <v>96</v>
      </c>
      <c r="F45" s="39">
        <f>8-1</f>
        <v>7</v>
      </c>
      <c r="G45" s="85"/>
      <c r="H45" s="85">
        <f t="shared" si="25"/>
        <v>0</v>
      </c>
      <c r="I45" s="85">
        <f t="shared" si="23"/>
        <v>0</v>
      </c>
      <c r="J45" s="15">
        <v>0.36499999999999999</v>
      </c>
      <c r="K45" s="10">
        <f t="shared" si="26"/>
        <v>2.5549999999999997</v>
      </c>
      <c r="L45" s="10" t="s">
        <v>378</v>
      </c>
      <c r="M45" s="17">
        <v>42.1</v>
      </c>
      <c r="N45" s="17">
        <f t="shared" si="27"/>
        <v>54.814200000000007</v>
      </c>
      <c r="O45" s="17">
        <f t="shared" si="28"/>
        <v>20.007183000000001</v>
      </c>
      <c r="P45" s="17">
        <f t="shared" si="24"/>
        <v>140.05028100000001</v>
      </c>
      <c r="Q45" s="17">
        <f t="shared" si="29"/>
        <v>140.05028100000001</v>
      </c>
      <c r="R45" s="49"/>
      <c r="S45" s="12"/>
    </row>
    <row r="46" spans="2:19" x14ac:dyDescent="0.25">
      <c r="B46" s="48" t="str">
        <f>IF(F46&lt;&gt;"",1+MAX($B$22:B45),"")</f>
        <v/>
      </c>
      <c r="C46" s="52"/>
      <c r="D46" s="8"/>
      <c r="E46" s="23"/>
      <c r="F46" s="39"/>
      <c r="G46" s="17"/>
      <c r="H46" s="17">
        <f t="shared" si="25"/>
        <v>0</v>
      </c>
      <c r="I46" s="17">
        <f t="shared" si="23"/>
        <v>0</v>
      </c>
      <c r="J46" s="15"/>
      <c r="K46" s="10">
        <f t="shared" si="26"/>
        <v>0</v>
      </c>
      <c r="L46" s="10"/>
      <c r="M46" s="17"/>
      <c r="N46" s="17">
        <f t="shared" si="27"/>
        <v>0</v>
      </c>
      <c r="O46" s="17">
        <f t="shared" si="28"/>
        <v>0</v>
      </c>
      <c r="P46" s="17">
        <f t="shared" si="24"/>
        <v>0</v>
      </c>
      <c r="Q46" s="17">
        <f t="shared" si="29"/>
        <v>0</v>
      </c>
      <c r="R46" s="49"/>
      <c r="S46" s="12"/>
    </row>
    <row r="47" spans="2:19" x14ac:dyDescent="0.25">
      <c r="B47" s="48" t="str">
        <f>IF(F47&lt;&gt;"",1+MAX($B$22:B46),"")</f>
        <v/>
      </c>
      <c r="C47" s="52"/>
      <c r="D47" s="51" t="s">
        <v>277</v>
      </c>
      <c r="E47" s="23"/>
      <c r="F47" s="39"/>
      <c r="G47" s="17"/>
      <c r="H47" s="17">
        <f t="shared" si="25"/>
        <v>0</v>
      </c>
      <c r="I47" s="17">
        <f t="shared" si="23"/>
        <v>0</v>
      </c>
      <c r="J47" s="15"/>
      <c r="K47" s="10">
        <f t="shared" si="26"/>
        <v>0</v>
      </c>
      <c r="L47" s="10"/>
      <c r="M47" s="17"/>
      <c r="N47" s="17">
        <f t="shared" si="27"/>
        <v>0</v>
      </c>
      <c r="O47" s="17">
        <f t="shared" si="28"/>
        <v>0</v>
      </c>
      <c r="P47" s="17">
        <f t="shared" si="24"/>
        <v>0</v>
      </c>
      <c r="Q47" s="17">
        <f t="shared" si="29"/>
        <v>0</v>
      </c>
      <c r="R47" s="49"/>
      <c r="S47" s="12"/>
    </row>
    <row r="48" spans="2:19" x14ac:dyDescent="0.25">
      <c r="B48" s="48">
        <f>IF(F48&lt;&gt;"",1+MAX($B$22:B47),"")</f>
        <v>20</v>
      </c>
      <c r="C48" s="119" t="s">
        <v>278</v>
      </c>
      <c r="D48" s="8" t="s">
        <v>279</v>
      </c>
      <c r="E48" s="23" t="s">
        <v>96</v>
      </c>
      <c r="F48" s="39">
        <v>2</v>
      </c>
      <c r="G48" s="85"/>
      <c r="H48" s="85">
        <f t="shared" si="25"/>
        <v>0</v>
      </c>
      <c r="I48" s="85">
        <f t="shared" ref="I48:I55" si="30">F48*H48</f>
        <v>0</v>
      </c>
      <c r="J48" s="15">
        <v>3.5</v>
      </c>
      <c r="K48" s="10">
        <f t="shared" ref="K48:K55" si="31">F48*J48</f>
        <v>7</v>
      </c>
      <c r="L48" s="10" t="s">
        <v>378</v>
      </c>
      <c r="M48" s="17">
        <v>42.1</v>
      </c>
      <c r="N48" s="17">
        <f t="shared" si="27"/>
        <v>54.814200000000007</v>
      </c>
      <c r="O48" s="17">
        <f t="shared" si="28"/>
        <v>191.84970000000001</v>
      </c>
      <c r="P48" s="17">
        <f t="shared" si="24"/>
        <v>383.69940000000003</v>
      </c>
      <c r="Q48" s="17">
        <f t="shared" si="29"/>
        <v>383.69940000000003</v>
      </c>
      <c r="R48" s="49"/>
    </row>
    <row r="49" spans="2:18" x14ac:dyDescent="0.25">
      <c r="B49" s="48">
        <f>IF(F49&lt;&gt;"",1+MAX($B$22:B48),"")</f>
        <v>21</v>
      </c>
      <c r="C49" s="119"/>
      <c r="D49" s="8" t="s">
        <v>280</v>
      </c>
      <c r="E49" s="23" t="s">
        <v>96</v>
      </c>
      <c r="F49" s="39">
        <v>1</v>
      </c>
      <c r="G49" s="85"/>
      <c r="H49" s="85">
        <f t="shared" si="25"/>
        <v>0</v>
      </c>
      <c r="I49" s="85">
        <f t="shared" si="30"/>
        <v>0</v>
      </c>
      <c r="J49" s="15">
        <v>3.5</v>
      </c>
      <c r="K49" s="10">
        <f t="shared" si="31"/>
        <v>3.5</v>
      </c>
      <c r="L49" s="10" t="s">
        <v>378</v>
      </c>
      <c r="M49" s="17">
        <v>42.1</v>
      </c>
      <c r="N49" s="17">
        <f t="shared" si="27"/>
        <v>54.814200000000007</v>
      </c>
      <c r="O49" s="17">
        <f t="shared" si="28"/>
        <v>191.84970000000001</v>
      </c>
      <c r="P49" s="17">
        <f t="shared" si="24"/>
        <v>191.84970000000001</v>
      </c>
      <c r="Q49" s="17">
        <f t="shared" si="29"/>
        <v>191.84970000000001</v>
      </c>
      <c r="R49" s="49"/>
    </row>
    <row r="50" spans="2:18" x14ac:dyDescent="0.25">
      <c r="B50" s="48">
        <f>IF(F50&lt;&gt;"",1+MAX($B$22:B49),"")</f>
        <v>22</v>
      </c>
      <c r="C50" s="119"/>
      <c r="D50" s="8" t="s">
        <v>281</v>
      </c>
      <c r="E50" s="23" t="s">
        <v>96</v>
      </c>
      <c r="F50" s="39">
        <v>1</v>
      </c>
      <c r="G50" s="85"/>
      <c r="H50" s="85">
        <f t="shared" si="25"/>
        <v>0</v>
      </c>
      <c r="I50" s="85">
        <f t="shared" si="30"/>
        <v>0</v>
      </c>
      <c r="J50" s="15">
        <v>3.5</v>
      </c>
      <c r="K50" s="10">
        <f t="shared" si="31"/>
        <v>3.5</v>
      </c>
      <c r="L50" s="10" t="s">
        <v>378</v>
      </c>
      <c r="M50" s="17">
        <v>42.1</v>
      </c>
      <c r="N50" s="17">
        <f t="shared" si="27"/>
        <v>54.814200000000007</v>
      </c>
      <c r="O50" s="17">
        <f t="shared" si="28"/>
        <v>191.84970000000001</v>
      </c>
      <c r="P50" s="17">
        <f t="shared" si="24"/>
        <v>191.84970000000001</v>
      </c>
      <c r="Q50" s="17">
        <f t="shared" si="29"/>
        <v>191.84970000000001</v>
      </c>
      <c r="R50" s="49"/>
    </row>
    <row r="51" spans="2:18" x14ac:dyDescent="0.25">
      <c r="B51" s="48">
        <f>IF(F51&lt;&gt;"",1+MAX($B$22:B50),"")</f>
        <v>23</v>
      </c>
      <c r="C51" s="119"/>
      <c r="D51" s="8" t="s">
        <v>282</v>
      </c>
      <c r="E51" s="23" t="s">
        <v>96</v>
      </c>
      <c r="F51" s="39">
        <v>1</v>
      </c>
      <c r="G51" s="85"/>
      <c r="H51" s="85">
        <f t="shared" si="25"/>
        <v>0</v>
      </c>
      <c r="I51" s="85">
        <f t="shared" si="30"/>
        <v>0</v>
      </c>
      <c r="J51" s="15">
        <v>3.65</v>
      </c>
      <c r="K51" s="10">
        <f t="shared" si="31"/>
        <v>3.65</v>
      </c>
      <c r="L51" s="10" t="s">
        <v>378</v>
      </c>
      <c r="M51" s="17">
        <v>42.1</v>
      </c>
      <c r="N51" s="17">
        <f t="shared" si="27"/>
        <v>54.814200000000007</v>
      </c>
      <c r="O51" s="17">
        <f t="shared" si="28"/>
        <v>200.07183000000001</v>
      </c>
      <c r="P51" s="17">
        <f t="shared" si="24"/>
        <v>200.07183000000001</v>
      </c>
      <c r="Q51" s="17">
        <f t="shared" si="29"/>
        <v>200.07183000000001</v>
      </c>
      <c r="R51" s="49"/>
    </row>
    <row r="52" spans="2:18" x14ac:dyDescent="0.25">
      <c r="B52" s="48">
        <f>IF(F52&lt;&gt;"",1+MAX($B$22:B51),"")</f>
        <v>24</v>
      </c>
      <c r="C52" s="119"/>
      <c r="D52" s="8" t="s">
        <v>283</v>
      </c>
      <c r="E52" s="23" t="s">
        <v>96</v>
      </c>
      <c r="F52" s="39">
        <v>1</v>
      </c>
      <c r="G52" s="85"/>
      <c r="H52" s="85">
        <f t="shared" si="25"/>
        <v>0</v>
      </c>
      <c r="I52" s="85">
        <f t="shared" si="30"/>
        <v>0</v>
      </c>
      <c r="J52" s="15">
        <v>3.5</v>
      </c>
      <c r="K52" s="10">
        <f t="shared" si="31"/>
        <v>3.5</v>
      </c>
      <c r="L52" s="10" t="s">
        <v>378</v>
      </c>
      <c r="M52" s="17">
        <v>42.1</v>
      </c>
      <c r="N52" s="17">
        <f t="shared" si="27"/>
        <v>54.814200000000007</v>
      </c>
      <c r="O52" s="17">
        <f t="shared" si="28"/>
        <v>191.84970000000001</v>
      </c>
      <c r="P52" s="17">
        <f t="shared" si="24"/>
        <v>191.84970000000001</v>
      </c>
      <c r="Q52" s="17">
        <f t="shared" si="29"/>
        <v>191.84970000000001</v>
      </c>
      <c r="R52" s="49"/>
    </row>
    <row r="53" spans="2:18" x14ac:dyDescent="0.25">
      <c r="B53" s="48">
        <f>IF(F53&lt;&gt;"",1+MAX($B$22:B52),"")</f>
        <v>25</v>
      </c>
      <c r="C53" s="119"/>
      <c r="D53" s="8" t="s">
        <v>284</v>
      </c>
      <c r="E53" s="23" t="s">
        <v>78</v>
      </c>
      <c r="F53" s="39">
        <v>15</v>
      </c>
      <c r="G53" s="85"/>
      <c r="H53" s="85">
        <f t="shared" si="25"/>
        <v>0</v>
      </c>
      <c r="I53" s="85">
        <f t="shared" si="30"/>
        <v>0</v>
      </c>
      <c r="J53" s="15">
        <v>0.23</v>
      </c>
      <c r="K53" s="10">
        <f t="shared" si="31"/>
        <v>3.45</v>
      </c>
      <c r="L53" s="10" t="s">
        <v>378</v>
      </c>
      <c r="M53" s="17">
        <v>42.1</v>
      </c>
      <c r="N53" s="17">
        <f t="shared" si="27"/>
        <v>54.814200000000007</v>
      </c>
      <c r="O53" s="17">
        <f t="shared" si="28"/>
        <v>12.607266000000003</v>
      </c>
      <c r="P53" s="17">
        <f t="shared" si="24"/>
        <v>189.10899000000003</v>
      </c>
      <c r="Q53" s="17">
        <f t="shared" si="29"/>
        <v>189.10899000000003</v>
      </c>
      <c r="R53" s="49"/>
    </row>
    <row r="54" spans="2:18" x14ac:dyDescent="0.25">
      <c r="B54" s="48">
        <f>IF(F54&lt;&gt;"",1+MAX($B$22:B53),"")</f>
        <v>26</v>
      </c>
      <c r="C54" s="119"/>
      <c r="D54" s="8" t="s">
        <v>285</v>
      </c>
      <c r="E54" s="23" t="s">
        <v>78</v>
      </c>
      <c r="F54" s="39">
        <v>15</v>
      </c>
      <c r="G54" s="85"/>
      <c r="H54" s="85">
        <f t="shared" si="25"/>
        <v>0</v>
      </c>
      <c r="I54" s="85">
        <f t="shared" si="30"/>
        <v>0</v>
      </c>
      <c r="J54" s="15">
        <v>0.185</v>
      </c>
      <c r="K54" s="10">
        <f t="shared" si="31"/>
        <v>2.7749999999999999</v>
      </c>
      <c r="L54" s="10" t="s">
        <v>378</v>
      </c>
      <c r="M54" s="17">
        <v>42.1</v>
      </c>
      <c r="N54" s="17">
        <f t="shared" si="27"/>
        <v>54.814200000000007</v>
      </c>
      <c r="O54" s="17">
        <f t="shared" si="28"/>
        <v>10.140627</v>
      </c>
      <c r="P54" s="17">
        <f t="shared" si="24"/>
        <v>152.10940500000001</v>
      </c>
      <c r="Q54" s="17">
        <f t="shared" si="29"/>
        <v>152.10940500000001</v>
      </c>
      <c r="R54" s="49"/>
    </row>
    <row r="55" spans="2:18" x14ac:dyDescent="0.25">
      <c r="B55" s="48">
        <f>IF(F55&lt;&gt;"",1+MAX($B$22:B54),"")</f>
        <v>27</v>
      </c>
      <c r="C55" s="119"/>
      <c r="D55" s="8" t="s">
        <v>286</v>
      </c>
      <c r="E55" s="23" t="s">
        <v>96</v>
      </c>
      <c r="F55" s="39">
        <v>1</v>
      </c>
      <c r="G55" s="85"/>
      <c r="H55" s="85">
        <f t="shared" si="25"/>
        <v>0</v>
      </c>
      <c r="I55" s="85">
        <f t="shared" si="30"/>
        <v>0</v>
      </c>
      <c r="J55" s="15">
        <v>2.2650000000000001</v>
      </c>
      <c r="K55" s="10">
        <f t="shared" si="31"/>
        <v>2.2650000000000001</v>
      </c>
      <c r="L55" s="10" t="s">
        <v>378</v>
      </c>
      <c r="M55" s="17">
        <v>42.1</v>
      </c>
      <c r="N55" s="17">
        <f t="shared" si="27"/>
        <v>54.814200000000007</v>
      </c>
      <c r="O55" s="17">
        <f t="shared" si="28"/>
        <v>124.15416300000003</v>
      </c>
      <c r="P55" s="17">
        <f t="shared" si="24"/>
        <v>124.15416300000003</v>
      </c>
      <c r="Q55" s="17">
        <f t="shared" si="29"/>
        <v>124.15416300000003</v>
      </c>
      <c r="R55" s="49"/>
    </row>
    <row r="56" spans="2:18" x14ac:dyDescent="0.25">
      <c r="B56" s="48" t="str">
        <f>IF(F56&lt;&gt;"",1+MAX($B$22:B55),"")</f>
        <v/>
      </c>
      <c r="C56" s="52"/>
      <c r="D56" s="8"/>
      <c r="E56" s="23"/>
      <c r="F56" s="39"/>
      <c r="G56" s="17"/>
      <c r="H56" s="17">
        <f t="shared" si="25"/>
        <v>0</v>
      </c>
      <c r="I56" s="17">
        <f t="shared" si="23"/>
        <v>0</v>
      </c>
      <c r="J56" s="15"/>
      <c r="K56" s="10">
        <f t="shared" si="26"/>
        <v>0</v>
      </c>
      <c r="L56" s="10"/>
      <c r="M56" s="17"/>
      <c r="N56" s="17">
        <f t="shared" si="27"/>
        <v>0</v>
      </c>
      <c r="O56" s="17">
        <f t="shared" si="28"/>
        <v>0</v>
      </c>
      <c r="P56" s="17">
        <f t="shared" si="24"/>
        <v>0</v>
      </c>
      <c r="Q56" s="17">
        <f t="shared" si="29"/>
        <v>0</v>
      </c>
      <c r="R56" s="49"/>
    </row>
    <row r="57" spans="2:18" x14ac:dyDescent="0.25">
      <c r="B57" s="67" t="str">
        <f>IF(F57&lt;&gt;"",1+MAX($B$22:B56),"")</f>
        <v/>
      </c>
      <c r="C57" s="68"/>
      <c r="D57" s="69" t="s">
        <v>263</v>
      </c>
      <c r="E57" s="23"/>
      <c r="F57" s="39"/>
      <c r="G57" s="17"/>
      <c r="H57" s="17">
        <f t="shared" si="25"/>
        <v>0</v>
      </c>
      <c r="I57" s="17">
        <f t="shared" si="23"/>
        <v>0</v>
      </c>
      <c r="J57" s="15"/>
      <c r="K57" s="10">
        <f t="shared" si="26"/>
        <v>0</v>
      </c>
      <c r="L57" s="10"/>
      <c r="M57" s="17"/>
      <c r="N57" s="17">
        <f t="shared" si="27"/>
        <v>0</v>
      </c>
      <c r="O57" s="17">
        <f t="shared" si="28"/>
        <v>0</v>
      </c>
      <c r="P57" s="17">
        <f t="shared" si="24"/>
        <v>0</v>
      </c>
      <c r="Q57" s="17">
        <f t="shared" si="29"/>
        <v>0</v>
      </c>
      <c r="R57" s="49"/>
    </row>
    <row r="58" spans="2:18" x14ac:dyDescent="0.25">
      <c r="B58" s="48">
        <f>IF(F58&lt;&gt;"",1+MAX($B$22:B57),"")</f>
        <v>28</v>
      </c>
      <c r="C58" s="119" t="s">
        <v>267</v>
      </c>
      <c r="D58" s="8" t="s">
        <v>264</v>
      </c>
      <c r="E58" s="23" t="s">
        <v>73</v>
      </c>
      <c r="F58" s="39">
        <f>4*8.08+4*7</f>
        <v>60.32</v>
      </c>
      <c r="G58" s="17">
        <v>4.54</v>
      </c>
      <c r="H58" s="17">
        <f t="shared" si="25"/>
        <v>4.9940000000000007</v>
      </c>
      <c r="I58" s="17">
        <f t="shared" si="23"/>
        <v>301.23808000000002</v>
      </c>
      <c r="J58" s="15">
        <v>0.2</v>
      </c>
      <c r="K58" s="10">
        <f t="shared" si="26"/>
        <v>12.064</v>
      </c>
      <c r="L58" s="88" t="s">
        <v>379</v>
      </c>
      <c r="M58" s="89">
        <v>46.9</v>
      </c>
      <c r="N58" s="17">
        <f t="shared" si="27"/>
        <v>61.063800000000001</v>
      </c>
      <c r="O58" s="17">
        <f t="shared" si="28"/>
        <v>12.212760000000001</v>
      </c>
      <c r="P58" s="17">
        <f t="shared" si="24"/>
        <v>736.67368320000003</v>
      </c>
      <c r="Q58" s="17">
        <f t="shared" si="29"/>
        <v>1037.9117632</v>
      </c>
      <c r="R58" s="49"/>
    </row>
    <row r="59" spans="2:18" x14ac:dyDescent="0.25">
      <c r="B59" s="48">
        <f>IF(F59&lt;&gt;"",1+MAX($B$22:B58),"")</f>
        <v>29</v>
      </c>
      <c r="C59" s="119"/>
      <c r="D59" s="8" t="s">
        <v>265</v>
      </c>
      <c r="E59" s="23" t="s">
        <v>73</v>
      </c>
      <c r="F59" s="39">
        <f>4*2</f>
        <v>8</v>
      </c>
      <c r="G59" s="17">
        <v>6.85</v>
      </c>
      <c r="H59" s="17">
        <f t="shared" si="25"/>
        <v>7.5350000000000001</v>
      </c>
      <c r="I59" s="17">
        <f t="shared" si="23"/>
        <v>60.28</v>
      </c>
      <c r="J59" s="15">
        <v>0.114</v>
      </c>
      <c r="K59" s="10">
        <f t="shared" si="26"/>
        <v>0.91200000000000003</v>
      </c>
      <c r="L59" s="88" t="s">
        <v>380</v>
      </c>
      <c r="M59" s="89">
        <v>49.5</v>
      </c>
      <c r="N59" s="17">
        <f t="shared" si="27"/>
        <v>64.448999999999998</v>
      </c>
      <c r="O59" s="17">
        <f t="shared" si="28"/>
        <v>7.3471859999999998</v>
      </c>
      <c r="P59" s="17">
        <f t="shared" si="24"/>
        <v>58.777487999999998</v>
      </c>
      <c r="Q59" s="17">
        <f t="shared" si="29"/>
        <v>119.05748800000001</v>
      </c>
      <c r="R59" s="49"/>
    </row>
    <row r="60" spans="2:18" x14ac:dyDescent="0.25">
      <c r="B60" s="48">
        <f>IF(F60&lt;&gt;"",1+MAX($B$22:B59),"")</f>
        <v>30</v>
      </c>
      <c r="C60" s="119"/>
      <c r="D60" s="8" t="s">
        <v>266</v>
      </c>
      <c r="E60" s="23" t="s">
        <v>73</v>
      </c>
      <c r="F60" s="39">
        <f>4*2</f>
        <v>8</v>
      </c>
      <c r="G60" s="17">
        <v>4.67</v>
      </c>
      <c r="H60" s="17">
        <f t="shared" si="25"/>
        <v>5.1370000000000005</v>
      </c>
      <c r="I60" s="17">
        <f t="shared" si="23"/>
        <v>41.096000000000004</v>
      </c>
      <c r="J60" s="15">
        <v>0.04</v>
      </c>
      <c r="K60" s="10">
        <f t="shared" si="26"/>
        <v>0.32</v>
      </c>
      <c r="L60" s="88" t="s">
        <v>381</v>
      </c>
      <c r="M60" s="89">
        <v>53.15</v>
      </c>
      <c r="N60" s="17">
        <f t="shared" si="27"/>
        <v>69.201300000000003</v>
      </c>
      <c r="O60" s="17">
        <f t="shared" si="28"/>
        <v>2.7680520000000004</v>
      </c>
      <c r="P60" s="17">
        <f t="shared" si="24"/>
        <v>22.144416000000003</v>
      </c>
      <c r="Q60" s="17">
        <f t="shared" si="29"/>
        <v>63.24041600000001</v>
      </c>
      <c r="R60" s="49"/>
    </row>
    <row r="61" spans="2:18" x14ac:dyDescent="0.25">
      <c r="B61" s="48" t="str">
        <f>IF(F61&lt;&gt;"",1+MAX($B$22:B60),"")</f>
        <v/>
      </c>
      <c r="C61" s="52"/>
      <c r="D61" s="8"/>
      <c r="E61" s="23"/>
      <c r="F61" s="39"/>
      <c r="G61" s="17"/>
      <c r="H61" s="17">
        <f t="shared" si="25"/>
        <v>0</v>
      </c>
      <c r="I61" s="17">
        <f t="shared" si="23"/>
        <v>0</v>
      </c>
      <c r="J61" s="15"/>
      <c r="K61" s="10">
        <f t="shared" si="26"/>
        <v>0</v>
      </c>
      <c r="L61" s="10"/>
      <c r="M61" s="17"/>
      <c r="N61" s="17">
        <f t="shared" si="27"/>
        <v>0</v>
      </c>
      <c r="O61" s="17">
        <f t="shared" si="28"/>
        <v>0</v>
      </c>
      <c r="P61" s="17">
        <f t="shared" si="24"/>
        <v>0</v>
      </c>
      <c r="Q61" s="17">
        <f t="shared" si="29"/>
        <v>0</v>
      </c>
      <c r="R61" s="49"/>
    </row>
    <row r="62" spans="2:18" x14ac:dyDescent="0.25">
      <c r="B62" s="67" t="str">
        <f>IF(F62&lt;&gt;"",1+MAX($B$22:B61),"")</f>
        <v/>
      </c>
      <c r="C62" s="68"/>
      <c r="D62" s="69" t="s">
        <v>219</v>
      </c>
      <c r="E62" s="23"/>
      <c r="F62" s="39"/>
      <c r="G62" s="17"/>
      <c r="H62" s="17">
        <f t="shared" si="25"/>
        <v>0</v>
      </c>
      <c r="I62" s="17">
        <f t="shared" si="23"/>
        <v>0</v>
      </c>
      <c r="J62" s="15"/>
      <c r="K62" s="10">
        <f t="shared" si="26"/>
        <v>0</v>
      </c>
      <c r="L62" s="10"/>
      <c r="M62" s="17"/>
      <c r="N62" s="17">
        <f t="shared" si="27"/>
        <v>0</v>
      </c>
      <c r="O62" s="17">
        <f t="shared" si="28"/>
        <v>0</v>
      </c>
      <c r="P62" s="17">
        <f t="shared" si="24"/>
        <v>0</v>
      </c>
      <c r="Q62" s="17">
        <f t="shared" si="29"/>
        <v>0</v>
      </c>
      <c r="R62" s="49"/>
    </row>
    <row r="63" spans="2:18" x14ac:dyDescent="0.25">
      <c r="B63" s="48">
        <f>IF(F63&lt;&gt;"",1+MAX($B$22:B62),"")</f>
        <v>31</v>
      </c>
      <c r="C63" s="52" t="s">
        <v>268</v>
      </c>
      <c r="D63" s="8" t="s">
        <v>220</v>
      </c>
      <c r="E63" s="23" t="s">
        <v>73</v>
      </c>
      <c r="F63" s="39">
        <v>503</v>
      </c>
      <c r="G63" s="17">
        <v>1.67</v>
      </c>
      <c r="H63" s="17">
        <f t="shared" si="25"/>
        <v>1.837</v>
      </c>
      <c r="I63" s="17">
        <f t="shared" ref="I63" si="32">F63*H63</f>
        <v>924.01099999999997</v>
      </c>
      <c r="J63" s="15">
        <v>0.01</v>
      </c>
      <c r="K63" s="10">
        <f t="shared" ref="K63" si="33">F63*J63</f>
        <v>5.03</v>
      </c>
      <c r="L63" s="88" t="s">
        <v>381</v>
      </c>
      <c r="M63" s="89">
        <v>53.15</v>
      </c>
      <c r="N63" s="17">
        <f t="shared" si="27"/>
        <v>69.201300000000003</v>
      </c>
      <c r="O63" s="17">
        <f t="shared" si="28"/>
        <v>0.6920130000000001</v>
      </c>
      <c r="P63" s="17">
        <f t="shared" si="24"/>
        <v>348.08253900000005</v>
      </c>
      <c r="Q63" s="17">
        <f t="shared" si="29"/>
        <v>1272.093539</v>
      </c>
      <c r="R63" s="49"/>
    </row>
    <row r="64" spans="2:18" s="12" customFormat="1" x14ac:dyDescent="0.25">
      <c r="B64" s="48" t="str">
        <f>IF(F64&lt;&gt;"",1+MAX($B$22:B63),"")</f>
        <v/>
      </c>
      <c r="C64" s="52"/>
      <c r="D64" s="8"/>
      <c r="E64" s="23"/>
      <c r="F64" s="39"/>
      <c r="G64" s="17"/>
      <c r="H64" s="17">
        <f t="shared" si="25"/>
        <v>0</v>
      </c>
      <c r="I64" s="17">
        <f t="shared" si="23"/>
        <v>0</v>
      </c>
      <c r="J64" s="15"/>
      <c r="K64" s="10">
        <f t="shared" si="26"/>
        <v>0</v>
      </c>
      <c r="L64" s="10"/>
      <c r="M64" s="17"/>
      <c r="N64" s="17">
        <f t="shared" si="27"/>
        <v>0</v>
      </c>
      <c r="O64" s="17">
        <f t="shared" si="28"/>
        <v>0</v>
      </c>
      <c r="P64" s="17">
        <f t="shared" si="24"/>
        <v>0</v>
      </c>
      <c r="Q64" s="17">
        <f t="shared" si="29"/>
        <v>0</v>
      </c>
      <c r="R64" s="49"/>
    </row>
    <row r="65" spans="2:19" s="12" customFormat="1" ht="12.75" customHeight="1" x14ac:dyDescent="0.25">
      <c r="B65" s="13" t="str">
        <f>IF(F65&lt;&gt;"",1+MAX($B$22:B64),"")</f>
        <v/>
      </c>
      <c r="C65" s="13" t="s">
        <v>44</v>
      </c>
      <c r="D65" s="6" t="s">
        <v>10</v>
      </c>
      <c r="E65" s="121" t="s">
        <v>61</v>
      </c>
      <c r="F65" s="121"/>
      <c r="G65" s="121"/>
      <c r="H65" s="53">
        <f>SUM(I66:I84)</f>
        <v>8412.622354481482</v>
      </c>
      <c r="I65" s="7">
        <f t="shared" ref="I65:I84" si="34">F65*H65</f>
        <v>0</v>
      </c>
      <c r="J65" s="7"/>
      <c r="K65" s="122" t="s">
        <v>62</v>
      </c>
      <c r="L65" s="122"/>
      <c r="M65" s="122"/>
      <c r="N65" s="122"/>
      <c r="O65" s="53">
        <f>SUM(P66:P84)</f>
        <v>9865.7987547025259</v>
      </c>
      <c r="P65" s="7">
        <f t="shared" ref="P65:P84" si="35">F65*O65</f>
        <v>0</v>
      </c>
      <c r="Q65" s="47">
        <f>SUM(Q66:Q84)</f>
        <v>18278.421109184008</v>
      </c>
      <c r="R65" s="47">
        <f>(Q65)+(H65*$Q$8)+(O65*$Q$9)+(Q65*$Q$10)+($Q$11*((Q65)+(H65*$Q$8)+(O65*$Q$9)+(Q65*$Q$10)))+(Q65*$Q$12)</f>
        <v>25944.296751020127</v>
      </c>
    </row>
    <row r="66" spans="2:19" x14ac:dyDescent="0.25">
      <c r="B66" s="48" t="str">
        <f>IF(F66&lt;&gt;"",1+MAX($B$22:B65),"")</f>
        <v/>
      </c>
      <c r="C66" s="52"/>
      <c r="D66" s="8"/>
      <c r="E66" s="23"/>
      <c r="F66" s="39"/>
      <c r="G66" s="17"/>
      <c r="H66" s="17">
        <f t="shared" ref="H66:H84" si="36">G66*$T$2</f>
        <v>0</v>
      </c>
      <c r="I66" s="17">
        <f t="shared" si="34"/>
        <v>0</v>
      </c>
      <c r="J66" s="15"/>
      <c r="K66" s="10">
        <f t="shared" ref="K66:K84" si="37">F66*J66</f>
        <v>0</v>
      </c>
      <c r="L66" s="10"/>
      <c r="M66" s="17"/>
      <c r="N66" s="17">
        <f t="shared" ref="N66:N84" si="38">M66*$U$2</f>
        <v>0</v>
      </c>
      <c r="O66" s="17">
        <f t="shared" ref="O66:O84" si="39">J66*N66</f>
        <v>0</v>
      </c>
      <c r="P66" s="17">
        <f t="shared" si="35"/>
        <v>0</v>
      </c>
      <c r="Q66" s="17">
        <f t="shared" ref="Q66:Q84" si="40">I66+P66</f>
        <v>0</v>
      </c>
      <c r="R66" s="49"/>
      <c r="S66" s="12"/>
    </row>
    <row r="67" spans="2:19" x14ac:dyDescent="0.25">
      <c r="B67" s="67" t="str">
        <f>IF(F67&lt;&gt;"",1+MAX($B$22:B66),"")</f>
        <v/>
      </c>
      <c r="C67" s="68"/>
      <c r="D67" s="69" t="s">
        <v>133</v>
      </c>
      <c r="E67" s="23"/>
      <c r="F67" s="39"/>
      <c r="G67" s="17"/>
      <c r="H67" s="17">
        <f t="shared" si="36"/>
        <v>0</v>
      </c>
      <c r="I67" s="17">
        <f t="shared" si="34"/>
        <v>0</v>
      </c>
      <c r="J67" s="15"/>
      <c r="K67" s="10">
        <f t="shared" si="37"/>
        <v>0</v>
      </c>
      <c r="L67" s="10"/>
      <c r="M67" s="17"/>
      <c r="N67" s="17">
        <f t="shared" si="38"/>
        <v>0</v>
      </c>
      <c r="O67" s="17">
        <f t="shared" si="39"/>
        <v>0</v>
      </c>
      <c r="P67" s="17">
        <f t="shared" si="35"/>
        <v>0</v>
      </c>
      <c r="Q67" s="17">
        <f t="shared" si="40"/>
        <v>0</v>
      </c>
      <c r="R67" s="49"/>
    </row>
    <row r="68" spans="2:19" ht="27.6" x14ac:dyDescent="0.25">
      <c r="B68" s="48">
        <f>IF(F68&lt;&gt;"",1+MAX($B$22:B67),"")</f>
        <v>32</v>
      </c>
      <c r="C68" s="52" t="s">
        <v>269</v>
      </c>
      <c r="D68" s="8" t="s">
        <v>164</v>
      </c>
      <c r="E68" s="23" t="s">
        <v>73</v>
      </c>
      <c r="F68" s="39">
        <v>565.01</v>
      </c>
      <c r="G68" s="17">
        <v>2.59</v>
      </c>
      <c r="H68" s="17">
        <f t="shared" si="36"/>
        <v>2.8490000000000002</v>
      </c>
      <c r="I68" s="17">
        <f t="shared" si="34"/>
        <v>1609.7134900000001</v>
      </c>
      <c r="J68" s="15">
        <v>7.2999999999999995E-2</v>
      </c>
      <c r="K68" s="10">
        <f t="shared" si="37"/>
        <v>41.245729999999995</v>
      </c>
      <c r="L68" s="88" t="s">
        <v>382</v>
      </c>
      <c r="M68" s="89">
        <v>47.35</v>
      </c>
      <c r="N68" s="17">
        <f t="shared" si="38"/>
        <v>61.649700000000003</v>
      </c>
      <c r="O68" s="17">
        <f t="shared" si="39"/>
        <v>4.5004280999999997</v>
      </c>
      <c r="P68" s="17">
        <f t="shared" si="35"/>
        <v>2542.7868807809996</v>
      </c>
      <c r="Q68" s="17">
        <f t="shared" si="40"/>
        <v>4152.5003707809992</v>
      </c>
      <c r="R68" s="49"/>
    </row>
    <row r="69" spans="2:19" x14ac:dyDescent="0.25">
      <c r="B69" s="48" t="str">
        <f>IF(F69&lt;&gt;"",1+MAX($B$22:B68),"")</f>
        <v/>
      </c>
      <c r="C69" s="52"/>
      <c r="D69" s="8"/>
      <c r="E69" s="23"/>
      <c r="F69" s="39"/>
      <c r="G69" s="17"/>
      <c r="H69" s="17">
        <f t="shared" si="36"/>
        <v>0</v>
      </c>
      <c r="I69" s="17">
        <f t="shared" si="34"/>
        <v>0</v>
      </c>
      <c r="J69" s="15"/>
      <c r="K69" s="10">
        <f t="shared" si="37"/>
        <v>0</v>
      </c>
      <c r="L69" s="10"/>
      <c r="M69" s="17"/>
      <c r="N69" s="17">
        <f t="shared" si="38"/>
        <v>0</v>
      </c>
      <c r="O69" s="17">
        <f t="shared" si="39"/>
        <v>0</v>
      </c>
      <c r="P69" s="17">
        <f t="shared" si="35"/>
        <v>0</v>
      </c>
      <c r="Q69" s="17">
        <f t="shared" si="40"/>
        <v>0</v>
      </c>
      <c r="R69" s="49"/>
    </row>
    <row r="70" spans="2:19" x14ac:dyDescent="0.25">
      <c r="B70" s="67" t="str">
        <f>IF(F70&lt;&gt;"",1+MAX($B$22:B69),"")</f>
        <v/>
      </c>
      <c r="C70" s="68"/>
      <c r="D70" s="69" t="s">
        <v>130</v>
      </c>
      <c r="E70" s="23"/>
      <c r="F70" s="39"/>
      <c r="G70" s="17"/>
      <c r="H70" s="17">
        <f t="shared" si="36"/>
        <v>0</v>
      </c>
      <c r="I70" s="17">
        <f t="shared" si="34"/>
        <v>0</v>
      </c>
      <c r="J70" s="15"/>
      <c r="K70" s="10">
        <f t="shared" si="37"/>
        <v>0</v>
      </c>
      <c r="L70" s="10"/>
      <c r="M70" s="17"/>
      <c r="N70" s="17">
        <f t="shared" si="38"/>
        <v>0</v>
      </c>
      <c r="O70" s="17">
        <f t="shared" si="39"/>
        <v>0</v>
      </c>
      <c r="P70" s="17">
        <f t="shared" si="35"/>
        <v>0</v>
      </c>
      <c r="Q70" s="17">
        <f t="shared" si="40"/>
        <v>0</v>
      </c>
      <c r="R70" s="49"/>
    </row>
    <row r="71" spans="2:19" x14ac:dyDescent="0.25">
      <c r="B71" s="48" t="str">
        <f>IF(F71&lt;&gt;"",1+MAX($B$22:B70),"")</f>
        <v/>
      </c>
      <c r="C71" s="52"/>
      <c r="D71" s="8"/>
      <c r="E71" s="23"/>
      <c r="F71" s="70"/>
      <c r="G71" s="17"/>
      <c r="H71" s="17">
        <f t="shared" si="36"/>
        <v>0</v>
      </c>
      <c r="I71" s="17">
        <f t="shared" si="34"/>
        <v>0</v>
      </c>
      <c r="J71" s="15"/>
      <c r="K71" s="10">
        <f t="shared" si="37"/>
        <v>0</v>
      </c>
      <c r="L71" s="10"/>
      <c r="M71" s="17"/>
      <c r="N71" s="17">
        <f t="shared" si="38"/>
        <v>0</v>
      </c>
      <c r="O71" s="17">
        <f t="shared" si="39"/>
        <v>0</v>
      </c>
      <c r="P71" s="17">
        <f t="shared" si="35"/>
        <v>0</v>
      </c>
      <c r="Q71" s="17">
        <f t="shared" si="40"/>
        <v>0</v>
      </c>
      <c r="R71" s="49"/>
    </row>
    <row r="72" spans="2:19" x14ac:dyDescent="0.25">
      <c r="B72" s="48" t="str">
        <f>IF(F72&lt;&gt;"",1+MAX($B$22:B71),"")</f>
        <v/>
      </c>
      <c r="C72" s="52"/>
      <c r="D72" s="51" t="s">
        <v>167</v>
      </c>
      <c r="E72" s="23"/>
      <c r="F72" s="70"/>
      <c r="G72" s="17"/>
      <c r="H72" s="17">
        <f t="shared" si="36"/>
        <v>0</v>
      </c>
      <c r="I72" s="17">
        <f t="shared" si="34"/>
        <v>0</v>
      </c>
      <c r="J72" s="15"/>
      <c r="K72" s="10">
        <f t="shared" si="37"/>
        <v>0</v>
      </c>
      <c r="L72" s="10"/>
      <c r="M72" s="17"/>
      <c r="N72" s="17">
        <f t="shared" si="38"/>
        <v>0</v>
      </c>
      <c r="O72" s="17">
        <f t="shared" si="39"/>
        <v>0</v>
      </c>
      <c r="P72" s="17">
        <f t="shared" si="35"/>
        <v>0</v>
      </c>
      <c r="Q72" s="17">
        <f t="shared" si="40"/>
        <v>0</v>
      </c>
      <c r="R72" s="49"/>
    </row>
    <row r="73" spans="2:19" x14ac:dyDescent="0.25">
      <c r="B73" s="48">
        <f>IF(F73&lt;&gt;"",1+MAX($B$22:B72),"")</f>
        <v>33</v>
      </c>
      <c r="C73" s="119" t="s">
        <v>270</v>
      </c>
      <c r="D73" s="8" t="s">
        <v>165</v>
      </c>
      <c r="E73" s="23" t="s">
        <v>74</v>
      </c>
      <c r="F73" s="70">
        <f>74*1.33*0.67/27</f>
        <v>2.4422740740740743</v>
      </c>
      <c r="G73" s="17">
        <v>310</v>
      </c>
      <c r="H73" s="17">
        <f t="shared" si="36"/>
        <v>341</v>
      </c>
      <c r="I73" s="17">
        <f t="shared" si="34"/>
        <v>832.81545925925934</v>
      </c>
      <c r="J73" s="15">
        <v>5.7300928670223277</v>
      </c>
      <c r="K73" s="10">
        <f t="shared" si="37"/>
        <v>13.994457251165413</v>
      </c>
      <c r="L73" s="88" t="s">
        <v>383</v>
      </c>
      <c r="M73" s="89">
        <v>50.61</v>
      </c>
      <c r="N73" s="17">
        <f t="shared" si="38"/>
        <v>65.894220000000004</v>
      </c>
      <c r="O73" s="17">
        <f t="shared" si="39"/>
        <v>377.58000000000004</v>
      </c>
      <c r="P73" s="17">
        <f t="shared" si="35"/>
        <v>922.15384488888901</v>
      </c>
      <c r="Q73" s="17">
        <f t="shared" si="40"/>
        <v>1754.9693041481482</v>
      </c>
      <c r="R73" s="49"/>
    </row>
    <row r="74" spans="2:19" x14ac:dyDescent="0.25">
      <c r="B74" s="48">
        <f>IF(F74&lt;&gt;"",1+MAX($B$22:B73),"")</f>
        <v>34</v>
      </c>
      <c r="C74" s="119"/>
      <c r="D74" s="8" t="s">
        <v>166</v>
      </c>
      <c r="E74" s="23" t="s">
        <v>74</v>
      </c>
      <c r="F74" s="70">
        <f>12*1*0.67/27</f>
        <v>0.29777777777777781</v>
      </c>
      <c r="G74" s="17">
        <v>310</v>
      </c>
      <c r="H74" s="17">
        <f t="shared" si="36"/>
        <v>341</v>
      </c>
      <c r="I74" s="17">
        <f t="shared" si="34"/>
        <v>101.54222222222224</v>
      </c>
      <c r="J74" s="15">
        <v>5.7300928670223277</v>
      </c>
      <c r="K74" s="10">
        <f t="shared" si="37"/>
        <v>1.7062943204022045</v>
      </c>
      <c r="L74" s="88" t="s">
        <v>383</v>
      </c>
      <c r="M74" s="89">
        <v>50.61</v>
      </c>
      <c r="N74" s="17">
        <f t="shared" si="38"/>
        <v>65.894220000000004</v>
      </c>
      <c r="O74" s="17">
        <f t="shared" si="39"/>
        <v>377.58000000000004</v>
      </c>
      <c r="P74" s="17">
        <f t="shared" si="35"/>
        <v>112.43493333333336</v>
      </c>
      <c r="Q74" s="17">
        <f t="shared" si="40"/>
        <v>213.97715555555561</v>
      </c>
      <c r="R74" s="49"/>
    </row>
    <row r="75" spans="2:19" x14ac:dyDescent="0.25">
      <c r="B75" s="48" t="str">
        <f>IF(F75&lt;&gt;"",1+MAX($B$22:B74),"")</f>
        <v/>
      </c>
      <c r="C75" s="119"/>
      <c r="D75" s="8"/>
      <c r="E75" s="23"/>
      <c r="F75" s="70"/>
      <c r="G75" s="17"/>
      <c r="H75" s="17">
        <f t="shared" si="36"/>
        <v>0</v>
      </c>
      <c r="I75" s="17">
        <f t="shared" si="34"/>
        <v>0</v>
      </c>
      <c r="J75" s="15"/>
      <c r="K75" s="10">
        <f t="shared" si="37"/>
        <v>0</v>
      </c>
      <c r="L75" s="10"/>
      <c r="M75" s="17"/>
      <c r="N75" s="17">
        <f t="shared" si="38"/>
        <v>0</v>
      </c>
      <c r="O75" s="17">
        <f t="shared" si="39"/>
        <v>0</v>
      </c>
      <c r="P75" s="17">
        <f t="shared" si="35"/>
        <v>0</v>
      </c>
      <c r="Q75" s="17">
        <f t="shared" si="40"/>
        <v>0</v>
      </c>
      <c r="R75" s="49"/>
    </row>
    <row r="76" spans="2:19" x14ac:dyDescent="0.25">
      <c r="B76" s="48" t="str">
        <f>IF(F76&lt;&gt;"",1+MAX($B$22:B75),"")</f>
        <v/>
      </c>
      <c r="C76" s="119"/>
      <c r="D76" s="51" t="s">
        <v>168</v>
      </c>
      <c r="E76" s="23"/>
      <c r="F76" s="70"/>
      <c r="G76" s="17"/>
      <c r="H76" s="17">
        <f t="shared" si="36"/>
        <v>0</v>
      </c>
      <c r="I76" s="17">
        <f t="shared" si="34"/>
        <v>0</v>
      </c>
      <c r="J76" s="15"/>
      <c r="K76" s="10">
        <f t="shared" si="37"/>
        <v>0</v>
      </c>
      <c r="L76" s="10"/>
      <c r="M76" s="17"/>
      <c r="N76" s="17">
        <f t="shared" si="38"/>
        <v>0</v>
      </c>
      <c r="O76" s="17">
        <f t="shared" si="39"/>
        <v>0</v>
      </c>
      <c r="P76" s="17">
        <f t="shared" si="35"/>
        <v>0</v>
      </c>
      <c r="Q76" s="17">
        <f t="shared" si="40"/>
        <v>0</v>
      </c>
      <c r="R76" s="49"/>
    </row>
    <row r="77" spans="2:19" x14ac:dyDescent="0.25">
      <c r="B77" s="48">
        <f>IF(F77&lt;&gt;"",1+MAX($B$22:B76),"")</f>
        <v>35</v>
      </c>
      <c r="C77" s="119"/>
      <c r="D77" s="8" t="s">
        <v>169</v>
      </c>
      <c r="E77" s="23" t="s">
        <v>74</v>
      </c>
      <c r="F77" s="70">
        <f>(3.1416*0.75*0.75*3.5*20)/27</f>
        <v>4.5814999999999992</v>
      </c>
      <c r="G77" s="17">
        <v>304.22000000000003</v>
      </c>
      <c r="H77" s="17">
        <f t="shared" si="36"/>
        <v>334.64200000000005</v>
      </c>
      <c r="I77" s="17">
        <f t="shared" si="34"/>
        <v>1533.162323</v>
      </c>
      <c r="J77" s="15">
        <v>6.415</v>
      </c>
      <c r="K77" s="10">
        <f t="shared" si="37"/>
        <v>29.390322499999996</v>
      </c>
      <c r="L77" s="88" t="s">
        <v>384</v>
      </c>
      <c r="M77" s="89">
        <v>52.21</v>
      </c>
      <c r="N77" s="17">
        <f t="shared" si="38"/>
        <v>67.977420000000009</v>
      </c>
      <c r="O77" s="17">
        <f t="shared" si="39"/>
        <v>436.07514930000008</v>
      </c>
      <c r="P77" s="17">
        <f t="shared" si="35"/>
        <v>1997.87829651795</v>
      </c>
      <c r="Q77" s="17">
        <f t="shared" si="40"/>
        <v>3531.0406195179503</v>
      </c>
      <c r="R77" s="49"/>
    </row>
    <row r="78" spans="2:19" x14ac:dyDescent="0.25">
      <c r="B78" s="48" t="str">
        <f>IF(F78&lt;&gt;"",1+MAX($B$22:B77),"")</f>
        <v/>
      </c>
      <c r="C78" s="52"/>
      <c r="D78" s="8"/>
      <c r="E78" s="23"/>
      <c r="F78" s="70"/>
      <c r="G78" s="17"/>
      <c r="H78" s="17">
        <f t="shared" si="36"/>
        <v>0</v>
      </c>
      <c r="I78" s="17">
        <f t="shared" si="34"/>
        <v>0</v>
      </c>
      <c r="J78" s="15"/>
      <c r="K78" s="10">
        <f t="shared" si="37"/>
        <v>0</v>
      </c>
      <c r="L78" s="10"/>
      <c r="M78" s="17"/>
      <c r="N78" s="17">
        <f t="shared" si="38"/>
        <v>0</v>
      </c>
      <c r="O78" s="17">
        <f t="shared" si="39"/>
        <v>0</v>
      </c>
      <c r="P78" s="17">
        <f t="shared" si="35"/>
        <v>0</v>
      </c>
      <c r="Q78" s="17">
        <f t="shared" si="40"/>
        <v>0</v>
      </c>
      <c r="R78" s="49"/>
    </row>
    <row r="79" spans="2:19" x14ac:dyDescent="0.25">
      <c r="B79" s="67" t="str">
        <f>IF(F79&lt;&gt;"",1+MAX($B$22:B78),"")</f>
        <v/>
      </c>
      <c r="C79" s="68"/>
      <c r="D79" s="69" t="s">
        <v>170</v>
      </c>
      <c r="E79" s="23"/>
      <c r="F79" s="39"/>
      <c r="G79" s="17"/>
      <c r="H79" s="17">
        <f t="shared" si="36"/>
        <v>0</v>
      </c>
      <c r="I79" s="17">
        <f t="shared" si="34"/>
        <v>0</v>
      </c>
      <c r="J79" s="15"/>
      <c r="K79" s="10">
        <f t="shared" si="37"/>
        <v>0</v>
      </c>
      <c r="L79" s="10"/>
      <c r="M79" s="17"/>
      <c r="N79" s="17">
        <f t="shared" si="38"/>
        <v>0</v>
      </c>
      <c r="O79" s="17">
        <f t="shared" si="39"/>
        <v>0</v>
      </c>
      <c r="P79" s="17">
        <f t="shared" si="35"/>
        <v>0</v>
      </c>
      <c r="Q79" s="17">
        <f t="shared" si="40"/>
        <v>0</v>
      </c>
      <c r="R79" s="49"/>
    </row>
    <row r="80" spans="2:19" ht="27.6" x14ac:dyDescent="0.25">
      <c r="B80" s="48">
        <f>IF(F80&lt;&gt;"",1+MAX($B$22:B79),"")</f>
        <v>36</v>
      </c>
      <c r="C80" s="52" t="s">
        <v>270</v>
      </c>
      <c r="D80" s="8" t="s">
        <v>171</v>
      </c>
      <c r="E80" s="23" t="s">
        <v>74</v>
      </c>
      <c r="F80" s="70">
        <f>(48*3.83+16*3+9*4.83)*0.67/27</f>
        <v>6.8317666666666677</v>
      </c>
      <c r="G80" s="17">
        <v>366</v>
      </c>
      <c r="H80" s="17">
        <f t="shared" si="36"/>
        <v>402.6</v>
      </c>
      <c r="I80" s="17">
        <f t="shared" si="34"/>
        <v>2750.4692600000008</v>
      </c>
      <c r="J80" s="15">
        <v>5.0170000000000003</v>
      </c>
      <c r="K80" s="10">
        <f t="shared" si="37"/>
        <v>34.274973366666671</v>
      </c>
      <c r="L80" s="88" t="s">
        <v>385</v>
      </c>
      <c r="M80" s="89">
        <v>54.81</v>
      </c>
      <c r="N80" s="17">
        <f t="shared" si="38"/>
        <v>71.362620000000007</v>
      </c>
      <c r="O80" s="17">
        <f t="shared" si="39"/>
        <v>358.02626454000006</v>
      </c>
      <c r="P80" s="17">
        <f t="shared" si="35"/>
        <v>2445.9518998755548</v>
      </c>
      <c r="Q80" s="17">
        <f t="shared" si="40"/>
        <v>5196.4211598755555</v>
      </c>
      <c r="R80" s="49"/>
    </row>
    <row r="81" spans="2:19" s="12" customFormat="1" x14ac:dyDescent="0.25">
      <c r="B81" s="48" t="str">
        <f>IF(F81&lt;&gt;"",1+MAX($B$22:B80),"")</f>
        <v/>
      </c>
      <c r="C81" s="52"/>
      <c r="D81" s="8"/>
      <c r="E81" s="23"/>
      <c r="F81" s="39"/>
      <c r="G81" s="17"/>
      <c r="H81" s="17">
        <f t="shared" si="36"/>
        <v>0</v>
      </c>
      <c r="I81" s="17">
        <f t="shared" si="34"/>
        <v>0</v>
      </c>
      <c r="J81" s="15"/>
      <c r="K81" s="10">
        <f t="shared" si="37"/>
        <v>0</v>
      </c>
      <c r="L81" s="10"/>
      <c r="M81" s="17"/>
      <c r="N81" s="17">
        <f t="shared" si="38"/>
        <v>0</v>
      </c>
      <c r="O81" s="17">
        <f t="shared" si="39"/>
        <v>0</v>
      </c>
      <c r="P81" s="17">
        <f t="shared" si="35"/>
        <v>0</v>
      </c>
      <c r="Q81" s="17">
        <f t="shared" si="40"/>
        <v>0</v>
      </c>
      <c r="R81" s="49"/>
    </row>
    <row r="82" spans="2:19" x14ac:dyDescent="0.25">
      <c r="B82" s="67" t="str">
        <f>IF(F82&lt;&gt;"",1+MAX($B$22:B81),"")</f>
        <v/>
      </c>
      <c r="C82" s="68"/>
      <c r="D82" s="69" t="s">
        <v>131</v>
      </c>
      <c r="E82" s="23"/>
      <c r="F82" s="39"/>
      <c r="G82" s="17"/>
      <c r="H82" s="17">
        <f t="shared" si="36"/>
        <v>0</v>
      </c>
      <c r="I82" s="17">
        <f t="shared" si="34"/>
        <v>0</v>
      </c>
      <c r="J82" s="15"/>
      <c r="K82" s="10">
        <f t="shared" si="37"/>
        <v>0</v>
      </c>
      <c r="L82" s="10"/>
      <c r="M82" s="17"/>
      <c r="N82" s="17">
        <f t="shared" si="38"/>
        <v>0</v>
      </c>
      <c r="O82" s="17">
        <f t="shared" si="39"/>
        <v>0</v>
      </c>
      <c r="P82" s="17">
        <f t="shared" si="35"/>
        <v>0</v>
      </c>
      <c r="Q82" s="17">
        <f t="shared" si="40"/>
        <v>0</v>
      </c>
      <c r="R82" s="49"/>
    </row>
    <row r="83" spans="2:19" s="12" customFormat="1" x14ac:dyDescent="0.25">
      <c r="B83" s="48">
        <f>IF(F83&lt;&gt;"",1+MAX($B$22:B82),"")</f>
        <v>37</v>
      </c>
      <c r="C83" s="52" t="s">
        <v>270</v>
      </c>
      <c r="D83" s="8" t="s">
        <v>132</v>
      </c>
      <c r="E83" s="23" t="s">
        <v>73</v>
      </c>
      <c r="F83" s="70">
        <f>48*3.83+16*3+9*4.83+(74*0.67*2+12*0.67*2)+(2*3.1416*0.75*3.5*20)</f>
        <v>720.41799999999989</v>
      </c>
      <c r="G83" s="17">
        <v>2</v>
      </c>
      <c r="H83" s="17">
        <f t="shared" si="36"/>
        <v>2.2000000000000002</v>
      </c>
      <c r="I83" s="17">
        <f t="shared" si="34"/>
        <v>1584.9195999999999</v>
      </c>
      <c r="J83" s="15">
        <v>3.6999999999999998E-2</v>
      </c>
      <c r="K83" s="10">
        <f t="shared" si="37"/>
        <v>26.655465999999993</v>
      </c>
      <c r="L83" s="88" t="s">
        <v>386</v>
      </c>
      <c r="M83" s="89">
        <v>53.15</v>
      </c>
      <c r="N83" s="17">
        <f t="shared" si="38"/>
        <v>69.201300000000003</v>
      </c>
      <c r="O83" s="17">
        <f t="shared" si="39"/>
        <v>2.5604480999999999</v>
      </c>
      <c r="P83" s="17">
        <f t="shared" si="35"/>
        <v>1844.5928993057996</v>
      </c>
      <c r="Q83" s="17">
        <f t="shared" si="40"/>
        <v>3429.5124993057998</v>
      </c>
      <c r="R83" s="49"/>
    </row>
    <row r="84" spans="2:19" s="12" customFormat="1" x14ac:dyDescent="0.25">
      <c r="B84" s="48" t="str">
        <f>IF(F84&lt;&gt;"",1+MAX($B$22:B83),"")</f>
        <v/>
      </c>
      <c r="C84" s="52"/>
      <c r="D84" s="8"/>
      <c r="E84" s="23"/>
      <c r="F84" s="39"/>
      <c r="G84" s="17"/>
      <c r="H84" s="17">
        <f t="shared" si="36"/>
        <v>0</v>
      </c>
      <c r="I84" s="17">
        <f t="shared" si="34"/>
        <v>0</v>
      </c>
      <c r="J84" s="15"/>
      <c r="K84" s="10">
        <f t="shared" si="37"/>
        <v>0</v>
      </c>
      <c r="L84" s="10"/>
      <c r="M84" s="17"/>
      <c r="N84" s="17">
        <f t="shared" si="38"/>
        <v>0</v>
      </c>
      <c r="O84" s="17">
        <f t="shared" si="39"/>
        <v>0</v>
      </c>
      <c r="P84" s="17">
        <f t="shared" si="35"/>
        <v>0</v>
      </c>
      <c r="Q84" s="17">
        <f t="shared" si="40"/>
        <v>0</v>
      </c>
      <c r="R84" s="49"/>
    </row>
    <row r="85" spans="2:19" s="12" customFormat="1" ht="12.75" customHeight="1" x14ac:dyDescent="0.25">
      <c r="B85" s="13" t="str">
        <f>IF(F85&lt;&gt;"",1+MAX($B$22:B84),"")</f>
        <v/>
      </c>
      <c r="C85" s="13" t="s">
        <v>45</v>
      </c>
      <c r="D85" s="6" t="s">
        <v>11</v>
      </c>
      <c r="E85" s="121" t="s">
        <v>61</v>
      </c>
      <c r="F85" s="121"/>
      <c r="G85" s="121"/>
      <c r="H85" s="53">
        <f>SUM(I86:I89)</f>
        <v>151.25</v>
      </c>
      <c r="I85" s="7">
        <f t="shared" ref="I85:I89" si="41">F85*H85</f>
        <v>0</v>
      </c>
      <c r="J85" s="7"/>
      <c r="K85" s="122" t="s">
        <v>62</v>
      </c>
      <c r="L85" s="122"/>
      <c r="M85" s="122"/>
      <c r="N85" s="122"/>
      <c r="O85" s="53">
        <f>SUM(P86:P89)</f>
        <v>356.00195400000001</v>
      </c>
      <c r="P85" s="7">
        <f t="shared" ref="P85:P89" si="42">F85*O85</f>
        <v>0</v>
      </c>
      <c r="Q85" s="47">
        <f>SUM(Q86:Q89)</f>
        <v>507.25195400000001</v>
      </c>
      <c r="R85" s="47">
        <f>(Q85)+(H85*$Q$8)+(O85*$Q$9)+(Q85*$Q$10)+($Q$11*((Q85)+(H85*$Q$8)+(O85*$Q$9)+(Q85*$Q$10)))+(Q85*$Q$12)</f>
        <v>721.34928335799998</v>
      </c>
    </row>
    <row r="86" spans="2:19" x14ac:dyDescent="0.25">
      <c r="B86" s="48" t="str">
        <f>IF(F86&lt;&gt;"",1+MAX($B$22:B85),"")</f>
        <v/>
      </c>
      <c r="C86" s="52"/>
      <c r="D86" s="8"/>
      <c r="E86" s="23"/>
      <c r="F86" s="39"/>
      <c r="G86" s="17"/>
      <c r="H86" s="17">
        <f t="shared" ref="H86:H89" si="43">G86*$T$2</f>
        <v>0</v>
      </c>
      <c r="I86" s="17">
        <f t="shared" si="41"/>
        <v>0</v>
      </c>
      <c r="J86" s="15"/>
      <c r="K86" s="10">
        <f t="shared" ref="K86:K89" si="44">F86*J86</f>
        <v>0</v>
      </c>
      <c r="L86" s="10"/>
      <c r="M86" s="17"/>
      <c r="N86" s="17">
        <f t="shared" ref="N86:N89" si="45">M86*$U$2</f>
        <v>0</v>
      </c>
      <c r="O86" s="17">
        <f t="shared" ref="O86:O89" si="46">J86*N86</f>
        <v>0</v>
      </c>
      <c r="P86" s="17">
        <f t="shared" si="42"/>
        <v>0</v>
      </c>
      <c r="Q86" s="17">
        <f t="shared" ref="Q86:Q89" si="47">I86+P86</f>
        <v>0</v>
      </c>
      <c r="R86" s="49"/>
      <c r="S86" s="12"/>
    </row>
    <row r="87" spans="2:19" x14ac:dyDescent="0.25">
      <c r="B87" s="67" t="str">
        <f>IF(F87&lt;&gt;"",1+MAX($B$22:B86),"")</f>
        <v/>
      </c>
      <c r="C87" s="68"/>
      <c r="D87" s="69" t="s">
        <v>75</v>
      </c>
      <c r="E87" s="23"/>
      <c r="F87" s="39"/>
      <c r="G87" s="17"/>
      <c r="H87" s="17">
        <f t="shared" si="43"/>
        <v>0</v>
      </c>
      <c r="I87" s="17">
        <f t="shared" si="41"/>
        <v>0</v>
      </c>
      <c r="J87" s="15"/>
      <c r="K87" s="10">
        <f t="shared" si="44"/>
        <v>0</v>
      </c>
      <c r="L87" s="10"/>
      <c r="M87" s="17"/>
      <c r="N87" s="17">
        <f t="shared" si="45"/>
        <v>0</v>
      </c>
      <c r="O87" s="17">
        <f t="shared" si="46"/>
        <v>0</v>
      </c>
      <c r="P87" s="17">
        <f t="shared" si="42"/>
        <v>0</v>
      </c>
      <c r="Q87" s="17">
        <f t="shared" si="47"/>
        <v>0</v>
      </c>
      <c r="R87" s="49"/>
    </row>
    <row r="88" spans="2:19" x14ac:dyDescent="0.25">
      <c r="B88" s="48">
        <f>IF(F88&lt;&gt;"",1+MAX($B$22:B87),"")</f>
        <v>38</v>
      </c>
      <c r="C88" s="52"/>
      <c r="D88" s="8" t="s">
        <v>76</v>
      </c>
      <c r="E88" s="23" t="s">
        <v>73</v>
      </c>
      <c r="F88" s="39">
        <f>5.5*5</f>
        <v>27.5</v>
      </c>
      <c r="G88" s="17">
        <v>5</v>
      </c>
      <c r="H88" s="17">
        <f t="shared" si="43"/>
        <v>5.5</v>
      </c>
      <c r="I88" s="17">
        <f t="shared" si="41"/>
        <v>151.25</v>
      </c>
      <c r="J88" s="15">
        <v>0.21199999999999999</v>
      </c>
      <c r="K88" s="10">
        <f t="shared" si="44"/>
        <v>5.83</v>
      </c>
      <c r="L88" s="88" t="s">
        <v>379</v>
      </c>
      <c r="M88" s="89">
        <v>46.9</v>
      </c>
      <c r="N88" s="17">
        <f t="shared" si="45"/>
        <v>61.063800000000001</v>
      </c>
      <c r="O88" s="17">
        <f t="shared" si="46"/>
        <v>12.9455256</v>
      </c>
      <c r="P88" s="17">
        <f t="shared" si="42"/>
        <v>356.00195400000001</v>
      </c>
      <c r="Q88" s="17">
        <f t="shared" si="47"/>
        <v>507.25195400000001</v>
      </c>
      <c r="R88" s="49"/>
    </row>
    <row r="89" spans="2:19" x14ac:dyDescent="0.25">
      <c r="B89" s="48" t="str">
        <f>IF(F89&lt;&gt;"",1+MAX($B$22:B88),"")</f>
        <v/>
      </c>
      <c r="C89" s="52"/>
      <c r="D89" s="8"/>
      <c r="E89" s="23"/>
      <c r="F89" s="39"/>
      <c r="G89" s="17"/>
      <c r="H89" s="17">
        <f t="shared" si="43"/>
        <v>0</v>
      </c>
      <c r="I89" s="17">
        <f t="shared" si="41"/>
        <v>0</v>
      </c>
      <c r="J89" s="15"/>
      <c r="K89" s="10">
        <f t="shared" si="44"/>
        <v>0</v>
      </c>
      <c r="L89" s="10"/>
      <c r="M89" s="17"/>
      <c r="N89" s="17">
        <f t="shared" si="45"/>
        <v>0</v>
      </c>
      <c r="O89" s="17">
        <f t="shared" si="46"/>
        <v>0</v>
      </c>
      <c r="P89" s="17">
        <f t="shared" si="42"/>
        <v>0</v>
      </c>
      <c r="Q89" s="17">
        <f t="shared" si="47"/>
        <v>0</v>
      </c>
      <c r="R89" s="49"/>
      <c r="S89" s="12"/>
    </row>
    <row r="90" spans="2:19" s="12" customFormat="1" ht="12.75" customHeight="1" x14ac:dyDescent="0.25">
      <c r="B90" s="13" t="str">
        <f>IF(F90&lt;&gt;"",1+MAX($B$22:B89),"")</f>
        <v/>
      </c>
      <c r="C90" s="13" t="s">
        <v>46</v>
      </c>
      <c r="D90" s="6" t="s">
        <v>12</v>
      </c>
      <c r="E90" s="121" t="s">
        <v>61</v>
      </c>
      <c r="F90" s="121"/>
      <c r="G90" s="121"/>
      <c r="H90" s="53">
        <f>SUM(I91:I200)</f>
        <v>57479.560587610518</v>
      </c>
      <c r="I90" s="7">
        <f t="shared" ref="I90:I153" si="48">F90*H90</f>
        <v>0</v>
      </c>
      <c r="J90" s="7"/>
      <c r="K90" s="122" t="s">
        <v>62</v>
      </c>
      <c r="L90" s="122"/>
      <c r="M90" s="122"/>
      <c r="N90" s="122"/>
      <c r="O90" s="53">
        <f>SUM(P91:P200)</f>
        <v>43375.645855476847</v>
      </c>
      <c r="P90" s="7">
        <f t="shared" ref="P90:P153" si="49">F90*O90</f>
        <v>0</v>
      </c>
      <c r="Q90" s="47">
        <f>SUM(Q91:Q200)</f>
        <v>100855.20644308737</v>
      </c>
      <c r="R90" s="47">
        <f>(Q90)+(H90*$Q$8)+(O90*$Q$9)+(Q90*$Q$10)+($Q$11*((Q90)+(H90*$Q$8)+(O90*$Q$9)+(Q90*$Q$10)))+(Q90*$Q$12)</f>
        <v>142970.58733513596</v>
      </c>
    </row>
    <row r="91" spans="2:19" x14ac:dyDescent="0.25">
      <c r="B91" s="48" t="str">
        <f>IF(F91&lt;&gt;"",1+MAX($B$22:B90),"")</f>
        <v/>
      </c>
      <c r="C91" s="52"/>
      <c r="D91" s="8"/>
      <c r="E91" s="23"/>
      <c r="F91" s="39"/>
      <c r="G91" s="17"/>
      <c r="H91" s="17">
        <f t="shared" ref="H91:H154" si="50">G91*$T$2</f>
        <v>0</v>
      </c>
      <c r="I91" s="17">
        <f t="shared" si="48"/>
        <v>0</v>
      </c>
      <c r="J91" s="15"/>
      <c r="K91" s="10">
        <f t="shared" ref="K91:K154" si="51">F91*J91</f>
        <v>0</v>
      </c>
      <c r="L91" s="10"/>
      <c r="M91" s="17"/>
      <c r="N91" s="17">
        <f t="shared" ref="N91:N154" si="52">M91*$U$2</f>
        <v>0</v>
      </c>
      <c r="O91" s="17">
        <f t="shared" ref="O91:O154" si="53">J91*N91</f>
        <v>0</v>
      </c>
      <c r="P91" s="17">
        <f t="shared" si="49"/>
        <v>0</v>
      </c>
      <c r="Q91" s="17">
        <f t="shared" ref="Q91:Q154" si="54">I91+P91</f>
        <v>0</v>
      </c>
      <c r="R91" s="49"/>
      <c r="S91" s="12"/>
    </row>
    <row r="92" spans="2:19" x14ac:dyDescent="0.25">
      <c r="B92" s="67" t="str">
        <f>IF(F92&lt;&gt;"",1+MAX($B$22:B91),"")</f>
        <v/>
      </c>
      <c r="C92" s="68"/>
      <c r="D92" s="69" t="s">
        <v>79</v>
      </c>
      <c r="E92" s="23"/>
      <c r="F92" s="39"/>
      <c r="G92" s="17"/>
      <c r="H92" s="17">
        <f t="shared" si="50"/>
        <v>0</v>
      </c>
      <c r="I92" s="17">
        <f t="shared" si="48"/>
        <v>0</v>
      </c>
      <c r="J92" s="15"/>
      <c r="K92" s="10">
        <f t="shared" si="51"/>
        <v>0</v>
      </c>
      <c r="L92" s="10"/>
      <c r="M92" s="17"/>
      <c r="N92" s="17">
        <f t="shared" si="52"/>
        <v>0</v>
      </c>
      <c r="O92" s="17">
        <f t="shared" si="53"/>
        <v>0</v>
      </c>
      <c r="P92" s="17">
        <f t="shared" si="49"/>
        <v>0</v>
      </c>
      <c r="Q92" s="17">
        <f t="shared" si="54"/>
        <v>0</v>
      </c>
      <c r="R92" s="49"/>
    </row>
    <row r="93" spans="2:19" x14ac:dyDescent="0.25">
      <c r="B93" s="48" t="str">
        <f>IF(F93&lt;&gt;"",1+MAX($B$22:B92),"")</f>
        <v/>
      </c>
      <c r="C93" s="52"/>
      <c r="D93" s="51"/>
      <c r="E93" s="23"/>
      <c r="F93" s="39"/>
      <c r="G93" s="17"/>
      <c r="H93" s="17">
        <f t="shared" si="50"/>
        <v>0</v>
      </c>
      <c r="I93" s="17">
        <f t="shared" si="48"/>
        <v>0</v>
      </c>
      <c r="J93" s="15"/>
      <c r="K93" s="10">
        <f t="shared" si="51"/>
        <v>0</v>
      </c>
      <c r="L93" s="10"/>
      <c r="M93" s="17"/>
      <c r="N93" s="17">
        <f t="shared" si="52"/>
        <v>0</v>
      </c>
      <c r="O93" s="17">
        <f t="shared" si="53"/>
        <v>0</v>
      </c>
      <c r="P93" s="17">
        <f t="shared" si="49"/>
        <v>0</v>
      </c>
      <c r="Q93" s="17">
        <f t="shared" si="54"/>
        <v>0</v>
      </c>
      <c r="R93" s="49"/>
    </row>
    <row r="94" spans="2:19" x14ac:dyDescent="0.25">
      <c r="B94" s="48" t="str">
        <f>IF(F94&lt;&gt;"",1+MAX($B$22:B93),"")</f>
        <v/>
      </c>
      <c r="C94" s="52"/>
      <c r="D94" s="51" t="s">
        <v>80</v>
      </c>
      <c r="E94" s="23"/>
      <c r="F94" s="39"/>
      <c r="G94" s="17"/>
      <c r="H94" s="17">
        <f t="shared" si="50"/>
        <v>0</v>
      </c>
      <c r="I94" s="17">
        <f t="shared" si="48"/>
        <v>0</v>
      </c>
      <c r="J94" s="15"/>
      <c r="K94" s="10">
        <f t="shared" si="51"/>
        <v>0</v>
      </c>
      <c r="L94" s="10"/>
      <c r="M94" s="17"/>
      <c r="N94" s="17">
        <f t="shared" si="52"/>
        <v>0</v>
      </c>
      <c r="O94" s="17">
        <f t="shared" si="53"/>
        <v>0</v>
      </c>
      <c r="P94" s="17">
        <f t="shared" si="49"/>
        <v>0</v>
      </c>
      <c r="Q94" s="17">
        <f t="shared" si="54"/>
        <v>0</v>
      </c>
      <c r="R94" s="49"/>
    </row>
    <row r="95" spans="2:19" ht="82.8" x14ac:dyDescent="0.25">
      <c r="B95" s="48">
        <f>IF(F95&lt;&gt;"",1+MAX($B$22:B94),"")</f>
        <v>39</v>
      </c>
      <c r="C95" s="119" t="s">
        <v>278</v>
      </c>
      <c r="D95" s="8" t="s">
        <v>287</v>
      </c>
      <c r="E95" s="23" t="s">
        <v>73</v>
      </c>
      <c r="F95" s="39">
        <f>76.7*9+22.55*8.25+34.14*6.33+61.95*7.5+5*8</f>
        <v>1597.0687</v>
      </c>
      <c r="G95" s="17">
        <v>0.66</v>
      </c>
      <c r="H95" s="17">
        <f t="shared" si="50"/>
        <v>0.72600000000000009</v>
      </c>
      <c r="I95" s="17">
        <f t="shared" si="48"/>
        <v>1159.4718762000002</v>
      </c>
      <c r="J95" s="15">
        <v>2.4E-2</v>
      </c>
      <c r="K95" s="10">
        <f t="shared" si="51"/>
        <v>38.329648800000001</v>
      </c>
      <c r="L95" s="88" t="s">
        <v>386</v>
      </c>
      <c r="M95" s="89">
        <v>53.15</v>
      </c>
      <c r="N95" s="17">
        <f t="shared" si="52"/>
        <v>69.201300000000003</v>
      </c>
      <c r="O95" s="17">
        <f t="shared" si="53"/>
        <v>1.6608312000000001</v>
      </c>
      <c r="P95" s="17">
        <f t="shared" si="49"/>
        <v>2652.46152550344</v>
      </c>
      <c r="Q95" s="17">
        <f t="shared" si="54"/>
        <v>3811.9334017034403</v>
      </c>
      <c r="R95" s="49"/>
    </row>
    <row r="96" spans="2:19" x14ac:dyDescent="0.25">
      <c r="B96" s="48" t="str">
        <f>IF(F96&lt;&gt;"",1+MAX($B$22:B95),"")</f>
        <v/>
      </c>
      <c r="C96" s="119"/>
      <c r="D96" s="51" t="s">
        <v>288</v>
      </c>
      <c r="E96" s="23"/>
      <c r="F96" s="39"/>
      <c r="G96" s="17"/>
      <c r="H96" s="17">
        <f t="shared" si="50"/>
        <v>0</v>
      </c>
      <c r="I96" s="17">
        <f t="shared" si="48"/>
        <v>0</v>
      </c>
      <c r="J96" s="15"/>
      <c r="K96" s="10">
        <f t="shared" si="51"/>
        <v>0</v>
      </c>
      <c r="L96" s="10"/>
      <c r="M96" s="17"/>
      <c r="N96" s="17">
        <f t="shared" si="52"/>
        <v>0</v>
      </c>
      <c r="O96" s="17">
        <f t="shared" si="53"/>
        <v>0</v>
      </c>
      <c r="P96" s="17">
        <f t="shared" si="49"/>
        <v>0</v>
      </c>
      <c r="Q96" s="17">
        <f t="shared" si="54"/>
        <v>0</v>
      </c>
      <c r="R96" s="49"/>
    </row>
    <row r="97" spans="2:18" x14ac:dyDescent="0.25">
      <c r="B97" s="48" t="str">
        <f>IF(F97&lt;&gt;"",1+MAX($B$22:B96),"")</f>
        <v/>
      </c>
      <c r="C97" s="119"/>
      <c r="D97" s="8"/>
      <c r="E97" s="23"/>
      <c r="F97" s="39"/>
      <c r="G97" s="17"/>
      <c r="H97" s="17">
        <f t="shared" si="50"/>
        <v>0</v>
      </c>
      <c r="I97" s="17">
        <f t="shared" si="48"/>
        <v>0</v>
      </c>
      <c r="J97" s="15"/>
      <c r="K97" s="10">
        <f t="shared" si="51"/>
        <v>0</v>
      </c>
      <c r="L97" s="10"/>
      <c r="M97" s="17"/>
      <c r="N97" s="17">
        <f t="shared" si="52"/>
        <v>0</v>
      </c>
      <c r="O97" s="17">
        <f t="shared" si="53"/>
        <v>0</v>
      </c>
      <c r="P97" s="17">
        <f t="shared" si="49"/>
        <v>0</v>
      </c>
      <c r="Q97" s="17">
        <f t="shared" si="54"/>
        <v>0</v>
      </c>
      <c r="R97" s="49"/>
    </row>
    <row r="98" spans="2:18" x14ac:dyDescent="0.25">
      <c r="B98" s="48" t="str">
        <f>IF(F98&lt;&gt;"",1+MAX($B$22:B97),"")</f>
        <v/>
      </c>
      <c r="C98" s="119"/>
      <c r="D98" s="51" t="s">
        <v>289</v>
      </c>
      <c r="E98" s="23"/>
      <c r="F98" s="39"/>
      <c r="G98" s="17"/>
      <c r="H98" s="17">
        <f t="shared" si="50"/>
        <v>0</v>
      </c>
      <c r="I98" s="17">
        <f t="shared" si="48"/>
        <v>0</v>
      </c>
      <c r="J98" s="15"/>
      <c r="K98" s="10">
        <f t="shared" si="51"/>
        <v>0</v>
      </c>
      <c r="L98" s="10"/>
      <c r="M98" s="17"/>
      <c r="N98" s="17">
        <f t="shared" si="52"/>
        <v>0</v>
      </c>
      <c r="O98" s="17">
        <f t="shared" si="53"/>
        <v>0</v>
      </c>
      <c r="P98" s="17">
        <f t="shared" si="49"/>
        <v>0</v>
      </c>
      <c r="Q98" s="17">
        <f t="shared" si="54"/>
        <v>0</v>
      </c>
      <c r="R98" s="49"/>
    </row>
    <row r="99" spans="2:18" x14ac:dyDescent="0.25">
      <c r="B99" s="48">
        <f>IF(F99&lt;&gt;"",1+MAX($B$22:B98),"")</f>
        <v>40</v>
      </c>
      <c r="C99" s="119"/>
      <c r="D99" s="8" t="s">
        <v>290</v>
      </c>
      <c r="E99" s="23" t="s">
        <v>73</v>
      </c>
      <c r="F99" s="39">
        <v>324</v>
      </c>
      <c r="G99" s="17">
        <v>0.66</v>
      </c>
      <c r="H99" s="17">
        <f t="shared" si="50"/>
        <v>0.72600000000000009</v>
      </c>
      <c r="I99" s="17">
        <f t="shared" ref="I99" si="55">F99*H99</f>
        <v>235.22400000000002</v>
      </c>
      <c r="J99" s="15">
        <v>2.4E-2</v>
      </c>
      <c r="K99" s="10">
        <f t="shared" ref="K99" si="56">F99*J99</f>
        <v>7.7759999999999998</v>
      </c>
      <c r="L99" s="88" t="s">
        <v>386</v>
      </c>
      <c r="M99" s="89">
        <v>53.15</v>
      </c>
      <c r="N99" s="17">
        <f t="shared" si="52"/>
        <v>69.201300000000003</v>
      </c>
      <c r="O99" s="17">
        <f t="shared" si="53"/>
        <v>1.6608312000000001</v>
      </c>
      <c r="P99" s="17">
        <f t="shared" si="49"/>
        <v>538.10930880000001</v>
      </c>
      <c r="Q99" s="17">
        <f t="shared" si="54"/>
        <v>773.33330880000005</v>
      </c>
      <c r="R99" s="49"/>
    </row>
    <row r="100" spans="2:18" x14ac:dyDescent="0.25">
      <c r="B100" s="48" t="str">
        <f>IF(F100&lt;&gt;"",1+MAX($B$22:B99),"")</f>
        <v/>
      </c>
      <c r="C100" s="119"/>
      <c r="D100" s="51" t="s">
        <v>288</v>
      </c>
      <c r="E100" s="23"/>
      <c r="F100" s="39"/>
      <c r="G100" s="17"/>
      <c r="H100" s="17">
        <f t="shared" si="50"/>
        <v>0</v>
      </c>
      <c r="I100" s="17">
        <f t="shared" si="48"/>
        <v>0</v>
      </c>
      <c r="J100" s="15"/>
      <c r="K100" s="10">
        <f t="shared" si="51"/>
        <v>0</v>
      </c>
      <c r="L100" s="10"/>
      <c r="M100" s="17"/>
      <c r="N100" s="17">
        <f t="shared" si="52"/>
        <v>0</v>
      </c>
      <c r="O100" s="17">
        <f t="shared" si="53"/>
        <v>0</v>
      </c>
      <c r="P100" s="17">
        <f t="shared" si="49"/>
        <v>0</v>
      </c>
      <c r="Q100" s="17">
        <f t="shared" si="54"/>
        <v>0</v>
      </c>
      <c r="R100" s="49"/>
    </row>
    <row r="101" spans="2:18" x14ac:dyDescent="0.25">
      <c r="B101" s="48" t="str">
        <f>IF(F101&lt;&gt;"",1+MAX($B$22:B100),"")</f>
        <v/>
      </c>
      <c r="C101" s="119"/>
      <c r="D101" s="8"/>
      <c r="E101" s="23"/>
      <c r="F101" s="39"/>
      <c r="G101" s="17"/>
      <c r="H101" s="17">
        <f t="shared" si="50"/>
        <v>0</v>
      </c>
      <c r="I101" s="17">
        <f t="shared" si="48"/>
        <v>0</v>
      </c>
      <c r="J101" s="15"/>
      <c r="K101" s="10">
        <f t="shared" si="51"/>
        <v>0</v>
      </c>
      <c r="L101" s="10"/>
      <c r="M101" s="17"/>
      <c r="N101" s="17">
        <f t="shared" si="52"/>
        <v>0</v>
      </c>
      <c r="O101" s="17">
        <f t="shared" si="53"/>
        <v>0</v>
      </c>
      <c r="P101" s="17">
        <f t="shared" si="49"/>
        <v>0</v>
      </c>
      <c r="Q101" s="17">
        <f t="shared" si="54"/>
        <v>0</v>
      </c>
      <c r="R101" s="49"/>
    </row>
    <row r="102" spans="2:18" x14ac:dyDescent="0.25">
      <c r="B102" s="48" t="str">
        <f>IF(F102&lt;&gt;"",1+MAX($B$22:B101),"")</f>
        <v/>
      </c>
      <c r="C102" s="119"/>
      <c r="D102" s="51" t="s">
        <v>81</v>
      </c>
      <c r="E102" s="23"/>
      <c r="F102" s="39"/>
      <c r="G102" s="17"/>
      <c r="H102" s="17">
        <f t="shared" si="50"/>
        <v>0</v>
      </c>
      <c r="I102" s="17">
        <f t="shared" si="48"/>
        <v>0</v>
      </c>
      <c r="J102" s="15"/>
      <c r="K102" s="10">
        <f t="shared" si="51"/>
        <v>0</v>
      </c>
      <c r="L102" s="10"/>
      <c r="M102" s="17"/>
      <c r="N102" s="17">
        <f t="shared" si="52"/>
        <v>0</v>
      </c>
      <c r="O102" s="17">
        <f t="shared" si="53"/>
        <v>0</v>
      </c>
      <c r="P102" s="17">
        <f t="shared" si="49"/>
        <v>0</v>
      </c>
      <c r="Q102" s="17">
        <f t="shared" si="54"/>
        <v>0</v>
      </c>
      <c r="R102" s="49"/>
    </row>
    <row r="103" spans="2:18" x14ac:dyDescent="0.25">
      <c r="B103" s="48">
        <f>IF(F103&lt;&gt;"",1+MAX($B$22:B102),"")</f>
        <v>41</v>
      </c>
      <c r="C103" s="119"/>
      <c r="D103" s="8" t="s">
        <v>82</v>
      </c>
      <c r="E103" s="23" t="s">
        <v>78</v>
      </c>
      <c r="F103" s="39">
        <f>200*2</f>
        <v>400</v>
      </c>
      <c r="G103" s="85"/>
      <c r="H103" s="85">
        <f t="shared" si="50"/>
        <v>0</v>
      </c>
      <c r="I103" s="85">
        <f t="shared" si="48"/>
        <v>0</v>
      </c>
      <c r="J103" s="86"/>
      <c r="K103" s="87">
        <f t="shared" si="51"/>
        <v>0</v>
      </c>
      <c r="L103" s="87"/>
      <c r="M103" s="85"/>
      <c r="N103" s="85">
        <f t="shared" si="52"/>
        <v>0</v>
      </c>
      <c r="O103" s="85">
        <f t="shared" si="53"/>
        <v>0</v>
      </c>
      <c r="P103" s="85">
        <f t="shared" si="49"/>
        <v>0</v>
      </c>
      <c r="Q103" s="85">
        <f t="shared" si="54"/>
        <v>0</v>
      </c>
      <c r="R103" s="49"/>
    </row>
    <row r="104" spans="2:18" x14ac:dyDescent="0.25">
      <c r="B104" s="48" t="str">
        <f>IF(F104&lt;&gt;"",1+MAX($B$22:B103),"")</f>
        <v/>
      </c>
      <c r="C104" s="119"/>
      <c r="D104" s="8"/>
      <c r="E104" s="23"/>
      <c r="F104" s="39"/>
      <c r="G104" s="17"/>
      <c r="H104" s="17">
        <f t="shared" si="50"/>
        <v>0</v>
      </c>
      <c r="I104" s="17">
        <f t="shared" si="48"/>
        <v>0</v>
      </c>
      <c r="J104" s="15"/>
      <c r="K104" s="10">
        <f t="shared" si="51"/>
        <v>0</v>
      </c>
      <c r="L104" s="10"/>
      <c r="M104" s="17"/>
      <c r="N104" s="17">
        <f t="shared" si="52"/>
        <v>0</v>
      </c>
      <c r="O104" s="17">
        <f t="shared" si="53"/>
        <v>0</v>
      </c>
      <c r="P104" s="17">
        <f t="shared" si="49"/>
        <v>0</v>
      </c>
      <c r="Q104" s="17">
        <f t="shared" si="54"/>
        <v>0</v>
      </c>
      <c r="R104" s="49"/>
    </row>
    <row r="105" spans="2:18" x14ac:dyDescent="0.25">
      <c r="B105" s="48" t="str">
        <f>IF(F105&lt;&gt;"",1+MAX($B$22:B104),"")</f>
        <v/>
      </c>
      <c r="C105" s="119"/>
      <c r="D105" s="51" t="s">
        <v>83</v>
      </c>
      <c r="E105" s="23"/>
      <c r="F105" s="39"/>
      <c r="G105" s="85"/>
      <c r="H105" s="85">
        <f t="shared" si="50"/>
        <v>0</v>
      </c>
      <c r="I105" s="85">
        <f t="shared" si="48"/>
        <v>0</v>
      </c>
      <c r="J105" s="86"/>
      <c r="K105" s="87">
        <f t="shared" si="51"/>
        <v>0</v>
      </c>
      <c r="L105" s="87"/>
      <c r="M105" s="85"/>
      <c r="N105" s="85">
        <f t="shared" si="52"/>
        <v>0</v>
      </c>
      <c r="O105" s="85">
        <f t="shared" si="53"/>
        <v>0</v>
      </c>
      <c r="P105" s="85">
        <f t="shared" si="49"/>
        <v>0</v>
      </c>
      <c r="Q105" s="85">
        <f t="shared" si="54"/>
        <v>0</v>
      </c>
      <c r="R105" s="49"/>
    </row>
    <row r="106" spans="2:18" x14ac:dyDescent="0.25">
      <c r="B106" s="48">
        <f>IF(F106&lt;&gt;"",1+MAX($B$22:B105),"")</f>
        <v>42</v>
      </c>
      <c r="C106" s="119"/>
      <c r="D106" s="8" t="s">
        <v>84</v>
      </c>
      <c r="E106" s="23" t="s">
        <v>78</v>
      </c>
      <c r="F106" s="39">
        <v>200</v>
      </c>
      <c r="G106" s="85"/>
      <c r="H106" s="85">
        <f t="shared" si="50"/>
        <v>0</v>
      </c>
      <c r="I106" s="85">
        <f t="shared" si="48"/>
        <v>0</v>
      </c>
      <c r="J106" s="86"/>
      <c r="K106" s="87">
        <f t="shared" si="51"/>
        <v>0</v>
      </c>
      <c r="L106" s="87"/>
      <c r="M106" s="85"/>
      <c r="N106" s="85">
        <f t="shared" si="52"/>
        <v>0</v>
      </c>
      <c r="O106" s="85">
        <f t="shared" si="53"/>
        <v>0</v>
      </c>
      <c r="P106" s="85">
        <f t="shared" si="49"/>
        <v>0</v>
      </c>
      <c r="Q106" s="85">
        <f t="shared" si="54"/>
        <v>0</v>
      </c>
      <c r="R106" s="49"/>
    </row>
    <row r="107" spans="2:18" x14ac:dyDescent="0.25">
      <c r="B107" s="48" t="str">
        <f>IF(F107&lt;&gt;"",1+MAX($B$22:B106),"")</f>
        <v/>
      </c>
      <c r="C107" s="52"/>
      <c r="D107" s="8"/>
      <c r="E107" s="23"/>
      <c r="F107" s="39"/>
      <c r="G107" s="17"/>
      <c r="H107" s="17">
        <f t="shared" si="50"/>
        <v>0</v>
      </c>
      <c r="I107" s="17">
        <f t="shared" si="48"/>
        <v>0</v>
      </c>
      <c r="J107" s="15"/>
      <c r="K107" s="10">
        <f t="shared" si="51"/>
        <v>0</v>
      </c>
      <c r="L107" s="10"/>
      <c r="M107" s="17"/>
      <c r="N107" s="17">
        <f t="shared" si="52"/>
        <v>0</v>
      </c>
      <c r="O107" s="17">
        <f t="shared" si="53"/>
        <v>0</v>
      </c>
      <c r="P107" s="17">
        <f t="shared" si="49"/>
        <v>0</v>
      </c>
      <c r="Q107" s="17">
        <f t="shared" si="54"/>
        <v>0</v>
      </c>
      <c r="R107" s="49"/>
    </row>
    <row r="108" spans="2:18" x14ac:dyDescent="0.25">
      <c r="B108" s="67" t="str">
        <f>IF(F108&lt;&gt;"",1+MAX($B$22:B107),"")</f>
        <v/>
      </c>
      <c r="C108" s="68"/>
      <c r="D108" s="69" t="s">
        <v>242</v>
      </c>
      <c r="E108" s="23"/>
      <c r="F108" s="39"/>
      <c r="G108" s="17"/>
      <c r="H108" s="17">
        <f t="shared" si="50"/>
        <v>0</v>
      </c>
      <c r="I108" s="17">
        <f t="shared" si="48"/>
        <v>0</v>
      </c>
      <c r="J108" s="15"/>
      <c r="K108" s="10">
        <f t="shared" si="51"/>
        <v>0</v>
      </c>
      <c r="L108" s="10"/>
      <c r="M108" s="17"/>
      <c r="N108" s="17">
        <f t="shared" si="52"/>
        <v>0</v>
      </c>
      <c r="O108" s="17">
        <f t="shared" si="53"/>
        <v>0</v>
      </c>
      <c r="P108" s="17">
        <f t="shared" si="49"/>
        <v>0</v>
      </c>
      <c r="Q108" s="17">
        <f t="shared" si="54"/>
        <v>0</v>
      </c>
      <c r="R108" s="49"/>
    </row>
    <row r="109" spans="2:18" x14ac:dyDescent="0.25">
      <c r="B109" s="48" t="str">
        <f>IF(F109&lt;&gt;"",1+MAX($B$22:B108),"")</f>
        <v/>
      </c>
      <c r="C109" s="52"/>
      <c r="D109" s="8"/>
      <c r="E109" s="23"/>
      <c r="F109" s="39"/>
      <c r="G109" s="17"/>
      <c r="H109" s="17">
        <f t="shared" si="50"/>
        <v>0</v>
      </c>
      <c r="I109" s="17">
        <f t="shared" si="48"/>
        <v>0</v>
      </c>
      <c r="J109" s="15"/>
      <c r="K109" s="10">
        <f t="shared" si="51"/>
        <v>0</v>
      </c>
      <c r="L109" s="10"/>
      <c r="M109" s="17"/>
      <c r="N109" s="17">
        <f t="shared" si="52"/>
        <v>0</v>
      </c>
      <c r="O109" s="17">
        <f t="shared" si="53"/>
        <v>0</v>
      </c>
      <c r="P109" s="17">
        <f t="shared" si="49"/>
        <v>0</v>
      </c>
      <c r="Q109" s="17">
        <f t="shared" si="54"/>
        <v>0</v>
      </c>
      <c r="R109" s="49"/>
    </row>
    <row r="110" spans="2:18" x14ac:dyDescent="0.25">
      <c r="B110" s="48" t="str">
        <f>IF(F110&lt;&gt;"",1+MAX($B$22:B109),"")</f>
        <v/>
      </c>
      <c r="C110" s="52"/>
      <c r="D110" s="51" t="s">
        <v>243</v>
      </c>
      <c r="E110" s="23"/>
      <c r="F110" s="39"/>
      <c r="G110" s="17"/>
      <c r="H110" s="17">
        <f t="shared" si="50"/>
        <v>0</v>
      </c>
      <c r="I110" s="17">
        <f t="shared" si="48"/>
        <v>0</v>
      </c>
      <c r="J110" s="15"/>
      <c r="K110" s="10">
        <f t="shared" si="51"/>
        <v>0</v>
      </c>
      <c r="L110" s="10"/>
      <c r="M110" s="17"/>
      <c r="N110" s="17">
        <f t="shared" si="52"/>
        <v>0</v>
      </c>
      <c r="O110" s="17">
        <f t="shared" si="53"/>
        <v>0</v>
      </c>
      <c r="P110" s="17">
        <f t="shared" si="49"/>
        <v>0</v>
      </c>
      <c r="Q110" s="17">
        <f t="shared" si="54"/>
        <v>0</v>
      </c>
      <c r="R110" s="49"/>
    </row>
    <row r="111" spans="2:18" ht="27.6" x14ac:dyDescent="0.25">
      <c r="B111" s="48">
        <f>IF(F111&lt;&gt;"",1+MAX($B$22:B110),"")</f>
        <v>43</v>
      </c>
      <c r="C111" s="119" t="s">
        <v>271</v>
      </c>
      <c r="D111" s="8" t="s">
        <v>245</v>
      </c>
      <c r="E111" s="23" t="s">
        <v>77</v>
      </c>
      <c r="F111" s="39">
        <v>5</v>
      </c>
      <c r="G111" s="17">
        <v>87</v>
      </c>
      <c r="H111" s="17">
        <f t="shared" si="50"/>
        <v>95.7</v>
      </c>
      <c r="I111" s="17">
        <f t="shared" si="48"/>
        <v>478.5</v>
      </c>
      <c r="J111" s="15">
        <v>0.28886666666666666</v>
      </c>
      <c r="K111" s="10">
        <f>F111*J111</f>
        <v>1.4443333333333332</v>
      </c>
      <c r="L111" s="88" t="s">
        <v>386</v>
      </c>
      <c r="M111" s="89">
        <v>53.15</v>
      </c>
      <c r="N111" s="17">
        <f t="shared" si="52"/>
        <v>69.201300000000003</v>
      </c>
      <c r="O111" s="17">
        <f t="shared" si="53"/>
        <v>19.989948860000002</v>
      </c>
      <c r="P111" s="17">
        <f t="shared" si="49"/>
        <v>99.949744300000006</v>
      </c>
      <c r="Q111" s="17">
        <f t="shared" si="54"/>
        <v>578.44974430000002</v>
      </c>
      <c r="R111" s="49"/>
    </row>
    <row r="112" spans="2:18" x14ac:dyDescent="0.25">
      <c r="B112" s="48">
        <f>IF(F112&lt;&gt;"",1+MAX($B$22:B111),"")</f>
        <v>44</v>
      </c>
      <c r="C112" s="119"/>
      <c r="D112" s="8" t="s">
        <v>246</v>
      </c>
      <c r="E112" s="23" t="s">
        <v>247</v>
      </c>
      <c r="F112" s="39">
        <v>5</v>
      </c>
      <c r="G112" s="17">
        <v>130</v>
      </c>
      <c r="H112" s="17">
        <f t="shared" si="50"/>
        <v>143</v>
      </c>
      <c r="I112" s="17">
        <f t="shared" ref="I112:I114" si="57">F112*H112</f>
        <v>715</v>
      </c>
      <c r="J112" s="15">
        <v>0.43329999999999996</v>
      </c>
      <c r="K112" s="10">
        <f>F112*J112</f>
        <v>2.1664999999999996</v>
      </c>
      <c r="L112" s="88" t="s">
        <v>386</v>
      </c>
      <c r="M112" s="89">
        <v>53.15</v>
      </c>
      <c r="N112" s="17">
        <f t="shared" si="52"/>
        <v>69.201300000000003</v>
      </c>
      <c r="O112" s="17">
        <f t="shared" si="53"/>
        <v>29.984923289999998</v>
      </c>
      <c r="P112" s="17">
        <f t="shared" si="49"/>
        <v>149.92461644999997</v>
      </c>
      <c r="Q112" s="17">
        <f t="shared" si="54"/>
        <v>864.92461645000003</v>
      </c>
      <c r="R112" s="49"/>
    </row>
    <row r="113" spans="2:18" x14ac:dyDescent="0.25">
      <c r="B113" s="48">
        <f>IF(F113&lt;&gt;"",1+MAX($B$22:B112),"")</f>
        <v>45</v>
      </c>
      <c r="C113" s="119"/>
      <c r="D113" s="8" t="s">
        <v>248</v>
      </c>
      <c r="E113" s="23" t="s">
        <v>78</v>
      </c>
      <c r="F113" s="39">
        <v>11.5</v>
      </c>
      <c r="G113" s="17">
        <v>55</v>
      </c>
      <c r="H113" s="17">
        <f t="shared" si="50"/>
        <v>60.500000000000007</v>
      </c>
      <c r="I113" s="17">
        <f t="shared" si="57"/>
        <v>695.75000000000011</v>
      </c>
      <c r="J113" s="15">
        <v>0.26500000000000001</v>
      </c>
      <c r="K113" s="10">
        <f t="shared" ref="K113:K114" si="58">F113*J113</f>
        <v>3.0475000000000003</v>
      </c>
      <c r="L113" s="88" t="s">
        <v>387</v>
      </c>
      <c r="M113" s="89">
        <v>62.74</v>
      </c>
      <c r="N113" s="17">
        <f t="shared" si="52"/>
        <v>81.687480000000008</v>
      </c>
      <c r="O113" s="17">
        <f t="shared" si="53"/>
        <v>21.647182200000003</v>
      </c>
      <c r="P113" s="17">
        <f t="shared" si="49"/>
        <v>248.94259530000005</v>
      </c>
      <c r="Q113" s="17">
        <f t="shared" si="54"/>
        <v>944.69259530000022</v>
      </c>
      <c r="R113" s="49"/>
    </row>
    <row r="114" spans="2:18" x14ac:dyDescent="0.25">
      <c r="B114" s="48">
        <f>IF(F114&lt;&gt;"",1+MAX($B$22:B113),"")</f>
        <v>46</v>
      </c>
      <c r="C114" s="119"/>
      <c r="D114" s="8" t="s">
        <v>249</v>
      </c>
      <c r="E114" s="23" t="s">
        <v>78</v>
      </c>
      <c r="F114" s="39">
        <v>8.5</v>
      </c>
      <c r="G114" s="17">
        <v>2.0880000000000001</v>
      </c>
      <c r="H114" s="17">
        <f t="shared" si="50"/>
        <v>2.2968000000000002</v>
      </c>
      <c r="I114" s="17">
        <f t="shared" si="57"/>
        <v>19.5228</v>
      </c>
      <c r="J114" s="15">
        <v>5.7000000000000002E-2</v>
      </c>
      <c r="K114" s="10">
        <f t="shared" si="58"/>
        <v>0.48450000000000004</v>
      </c>
      <c r="L114" s="88" t="s">
        <v>388</v>
      </c>
      <c r="M114" s="89">
        <v>46.88</v>
      </c>
      <c r="N114" s="17">
        <f t="shared" si="52"/>
        <v>61.037760000000006</v>
      </c>
      <c r="O114" s="17">
        <f t="shared" si="53"/>
        <v>3.4791523200000003</v>
      </c>
      <c r="P114" s="17">
        <f t="shared" si="49"/>
        <v>29.572794720000001</v>
      </c>
      <c r="Q114" s="17">
        <f t="shared" si="54"/>
        <v>49.095594720000001</v>
      </c>
      <c r="R114" s="49"/>
    </row>
    <row r="115" spans="2:18" x14ac:dyDescent="0.25">
      <c r="B115" s="48" t="str">
        <f>IF(F115&lt;&gt;"",1+MAX($B$22:B114),"")</f>
        <v/>
      </c>
      <c r="C115" s="119"/>
      <c r="D115" s="8"/>
      <c r="E115" s="23"/>
      <c r="F115" s="39"/>
      <c r="G115" s="17"/>
      <c r="H115" s="17">
        <f t="shared" si="50"/>
        <v>0</v>
      </c>
      <c r="I115" s="17">
        <f t="shared" si="48"/>
        <v>0</v>
      </c>
      <c r="J115" s="15"/>
      <c r="K115" s="10">
        <f t="shared" si="51"/>
        <v>0</v>
      </c>
      <c r="L115" s="10"/>
      <c r="M115" s="17"/>
      <c r="N115" s="17">
        <f t="shared" si="52"/>
        <v>0</v>
      </c>
      <c r="O115" s="17">
        <f t="shared" si="53"/>
        <v>0</v>
      </c>
      <c r="P115" s="17">
        <f t="shared" si="49"/>
        <v>0</v>
      </c>
      <c r="Q115" s="17">
        <f t="shared" si="54"/>
        <v>0</v>
      </c>
      <c r="R115" s="49"/>
    </row>
    <row r="116" spans="2:18" x14ac:dyDescent="0.25">
      <c r="B116" s="48" t="str">
        <f>IF(F116&lt;&gt;"",1+MAX($B$22:B115),"")</f>
        <v/>
      </c>
      <c r="C116" s="119"/>
      <c r="D116" s="51" t="s">
        <v>244</v>
      </c>
      <c r="E116" s="23"/>
      <c r="F116" s="39"/>
      <c r="G116" s="17"/>
      <c r="H116" s="17">
        <f t="shared" si="50"/>
        <v>0</v>
      </c>
      <c r="I116" s="17">
        <f t="shared" si="48"/>
        <v>0</v>
      </c>
      <c r="J116" s="15"/>
      <c r="K116" s="10">
        <f t="shared" si="51"/>
        <v>0</v>
      </c>
      <c r="L116" s="10"/>
      <c r="M116" s="17"/>
      <c r="N116" s="17">
        <f t="shared" si="52"/>
        <v>0</v>
      </c>
      <c r="O116" s="17">
        <f t="shared" si="53"/>
        <v>0</v>
      </c>
      <c r="P116" s="17">
        <f t="shared" si="49"/>
        <v>0</v>
      </c>
      <c r="Q116" s="17">
        <f t="shared" si="54"/>
        <v>0</v>
      </c>
      <c r="R116" s="49"/>
    </row>
    <row r="117" spans="2:18" ht="27.6" x14ac:dyDescent="0.25">
      <c r="B117" s="48">
        <f>IF(F117&lt;&gt;"",1+MAX($B$22:B116),"")</f>
        <v>47</v>
      </c>
      <c r="C117" s="119"/>
      <c r="D117" s="8" t="s">
        <v>250</v>
      </c>
      <c r="E117" s="23" t="s">
        <v>77</v>
      </c>
      <c r="F117" s="39">
        <v>6</v>
      </c>
      <c r="G117" s="17">
        <v>90</v>
      </c>
      <c r="H117" s="17">
        <f t="shared" si="50"/>
        <v>99.000000000000014</v>
      </c>
      <c r="I117" s="17">
        <f t="shared" ref="I117:I122" si="59">F117*H117</f>
        <v>594.00000000000011</v>
      </c>
      <c r="J117" s="15">
        <v>0.30000000000000004</v>
      </c>
      <c r="K117" s="10">
        <f t="shared" si="51"/>
        <v>1.8000000000000003</v>
      </c>
      <c r="L117" s="88" t="s">
        <v>386</v>
      </c>
      <c r="M117" s="89">
        <v>53.15</v>
      </c>
      <c r="N117" s="17">
        <f t="shared" si="52"/>
        <v>69.201300000000003</v>
      </c>
      <c r="O117" s="17">
        <f t="shared" si="53"/>
        <v>20.760390000000005</v>
      </c>
      <c r="P117" s="17">
        <f t="shared" si="49"/>
        <v>124.56234000000003</v>
      </c>
      <c r="Q117" s="17">
        <f t="shared" si="54"/>
        <v>718.56234000000018</v>
      </c>
      <c r="R117" s="49"/>
    </row>
    <row r="118" spans="2:18" ht="27.6" x14ac:dyDescent="0.25">
      <c r="B118" s="48">
        <f>IF(F118&lt;&gt;"",1+MAX($B$22:B117),"")</f>
        <v>48</v>
      </c>
      <c r="C118" s="119"/>
      <c r="D118" s="8" t="s">
        <v>251</v>
      </c>
      <c r="E118" s="23" t="s">
        <v>77</v>
      </c>
      <c r="F118" s="39">
        <v>5</v>
      </c>
      <c r="G118" s="17">
        <v>100</v>
      </c>
      <c r="H118" s="17">
        <f t="shared" si="50"/>
        <v>110.00000000000001</v>
      </c>
      <c r="I118" s="17">
        <f t="shared" si="59"/>
        <v>550.00000000000011</v>
      </c>
      <c r="J118" s="15">
        <v>0.33333333333333331</v>
      </c>
      <c r="K118" s="10">
        <f t="shared" si="51"/>
        <v>1.6666666666666665</v>
      </c>
      <c r="L118" s="88" t="s">
        <v>386</v>
      </c>
      <c r="M118" s="89">
        <v>53.15</v>
      </c>
      <c r="N118" s="17">
        <f t="shared" si="52"/>
        <v>69.201300000000003</v>
      </c>
      <c r="O118" s="17">
        <f t="shared" si="53"/>
        <v>23.0671</v>
      </c>
      <c r="P118" s="17">
        <f t="shared" si="49"/>
        <v>115.3355</v>
      </c>
      <c r="Q118" s="17">
        <f t="shared" si="54"/>
        <v>665.33550000000014</v>
      </c>
      <c r="R118" s="49"/>
    </row>
    <row r="119" spans="2:18" ht="27.6" x14ac:dyDescent="0.25">
      <c r="B119" s="48">
        <f>IF(F119&lt;&gt;"",1+MAX($B$22:B118),"")</f>
        <v>49</v>
      </c>
      <c r="C119" s="119"/>
      <c r="D119" s="8" t="s">
        <v>252</v>
      </c>
      <c r="E119" s="23" t="s">
        <v>77</v>
      </c>
      <c r="F119" s="39">
        <v>5</v>
      </c>
      <c r="G119" s="17">
        <v>140</v>
      </c>
      <c r="H119" s="17">
        <f t="shared" si="50"/>
        <v>154</v>
      </c>
      <c r="I119" s="17">
        <f t="shared" si="59"/>
        <v>770</v>
      </c>
      <c r="J119" s="15">
        <v>0.46666666666666662</v>
      </c>
      <c r="K119" s="10">
        <f t="shared" si="51"/>
        <v>2.333333333333333</v>
      </c>
      <c r="L119" s="88" t="s">
        <v>386</v>
      </c>
      <c r="M119" s="89">
        <v>53.15</v>
      </c>
      <c r="N119" s="17">
        <f t="shared" si="52"/>
        <v>69.201300000000003</v>
      </c>
      <c r="O119" s="17">
        <f t="shared" si="53"/>
        <v>32.293939999999999</v>
      </c>
      <c r="P119" s="17">
        <f t="shared" si="49"/>
        <v>161.46969999999999</v>
      </c>
      <c r="Q119" s="17">
        <f t="shared" si="54"/>
        <v>931.46969999999999</v>
      </c>
      <c r="R119" s="49"/>
    </row>
    <row r="120" spans="2:18" x14ac:dyDescent="0.25">
      <c r="B120" s="48">
        <f>IF(F120&lt;&gt;"",1+MAX($B$22:B119),"")</f>
        <v>50</v>
      </c>
      <c r="C120" s="119"/>
      <c r="D120" s="8" t="s">
        <v>253</v>
      </c>
      <c r="E120" s="23" t="s">
        <v>247</v>
      </c>
      <c r="F120" s="39">
        <v>5</v>
      </c>
      <c r="G120" s="17">
        <v>135</v>
      </c>
      <c r="H120" s="17">
        <f t="shared" si="50"/>
        <v>148.5</v>
      </c>
      <c r="I120" s="17">
        <f t="shared" si="59"/>
        <v>742.5</v>
      </c>
      <c r="J120" s="15">
        <v>0.44999999999999996</v>
      </c>
      <c r="K120" s="10">
        <f t="shared" si="51"/>
        <v>2.25</v>
      </c>
      <c r="L120" s="88" t="s">
        <v>386</v>
      </c>
      <c r="M120" s="89">
        <v>53.15</v>
      </c>
      <c r="N120" s="17">
        <f t="shared" si="52"/>
        <v>69.201300000000003</v>
      </c>
      <c r="O120" s="17">
        <f t="shared" si="53"/>
        <v>31.140584999999998</v>
      </c>
      <c r="P120" s="17">
        <f t="shared" si="49"/>
        <v>155.70292499999999</v>
      </c>
      <c r="Q120" s="17">
        <f t="shared" si="54"/>
        <v>898.20292500000005</v>
      </c>
      <c r="R120" s="49"/>
    </row>
    <row r="121" spans="2:18" x14ac:dyDescent="0.25">
      <c r="B121" s="48">
        <f>IF(F121&lt;&gt;"",1+MAX($B$22:B120),"")</f>
        <v>51</v>
      </c>
      <c r="C121" s="119"/>
      <c r="D121" s="8" t="s">
        <v>254</v>
      </c>
      <c r="E121" s="23" t="s">
        <v>247</v>
      </c>
      <c r="F121" s="39">
        <v>4</v>
      </c>
      <c r="G121" s="17">
        <v>150</v>
      </c>
      <c r="H121" s="17">
        <f t="shared" si="50"/>
        <v>165</v>
      </c>
      <c r="I121" s="17">
        <f t="shared" si="59"/>
        <v>660</v>
      </c>
      <c r="J121" s="15">
        <v>0.49999999999999994</v>
      </c>
      <c r="K121" s="10">
        <f t="shared" si="51"/>
        <v>1.9999999999999998</v>
      </c>
      <c r="L121" s="88" t="s">
        <v>386</v>
      </c>
      <c r="M121" s="89">
        <v>53.15</v>
      </c>
      <c r="N121" s="17">
        <f t="shared" si="52"/>
        <v>69.201300000000003</v>
      </c>
      <c r="O121" s="17">
        <f t="shared" si="53"/>
        <v>34.600649999999995</v>
      </c>
      <c r="P121" s="17">
        <f t="shared" si="49"/>
        <v>138.40259999999998</v>
      </c>
      <c r="Q121" s="17">
        <f t="shared" si="54"/>
        <v>798.40260000000001</v>
      </c>
      <c r="R121" s="49"/>
    </row>
    <row r="122" spans="2:18" x14ac:dyDescent="0.25">
      <c r="B122" s="48">
        <f>IF(F122&lt;&gt;"",1+MAX($B$22:B121),"")</f>
        <v>52</v>
      </c>
      <c r="C122" s="119"/>
      <c r="D122" s="8" t="s">
        <v>255</v>
      </c>
      <c r="E122" s="23" t="s">
        <v>247</v>
      </c>
      <c r="F122" s="39">
        <v>4</v>
      </c>
      <c r="G122" s="17">
        <v>210</v>
      </c>
      <c r="H122" s="17">
        <f t="shared" si="50"/>
        <v>231.00000000000003</v>
      </c>
      <c r="I122" s="17">
        <f t="shared" si="59"/>
        <v>924.00000000000011</v>
      </c>
      <c r="J122" s="15">
        <v>0.69999999999999984</v>
      </c>
      <c r="K122" s="10">
        <f t="shared" si="51"/>
        <v>2.7999999999999994</v>
      </c>
      <c r="L122" s="88" t="s">
        <v>386</v>
      </c>
      <c r="M122" s="89">
        <v>53.15</v>
      </c>
      <c r="N122" s="17">
        <f t="shared" si="52"/>
        <v>69.201300000000003</v>
      </c>
      <c r="O122" s="17">
        <f t="shared" si="53"/>
        <v>48.440909999999988</v>
      </c>
      <c r="P122" s="17">
        <f t="shared" si="49"/>
        <v>193.76363999999995</v>
      </c>
      <c r="Q122" s="17">
        <f t="shared" si="54"/>
        <v>1117.7636400000001</v>
      </c>
      <c r="R122" s="49"/>
    </row>
    <row r="123" spans="2:18" ht="55.2" x14ac:dyDescent="0.25">
      <c r="B123" s="48">
        <f>IF(F123&lt;&gt;"",1+MAX($B$22:B122),"")</f>
        <v>53</v>
      </c>
      <c r="C123" s="119"/>
      <c r="D123" s="8" t="s">
        <v>256</v>
      </c>
      <c r="E123" s="23" t="s">
        <v>78</v>
      </c>
      <c r="F123" s="39">
        <v>135</v>
      </c>
      <c r="G123" s="17">
        <v>49.25</v>
      </c>
      <c r="H123" s="17">
        <f t="shared" si="50"/>
        <v>54.175000000000004</v>
      </c>
      <c r="I123" s="17">
        <f t="shared" si="48"/>
        <v>7313.6250000000009</v>
      </c>
      <c r="J123" s="15">
        <v>0.64</v>
      </c>
      <c r="K123" s="10">
        <f t="shared" si="51"/>
        <v>86.4</v>
      </c>
      <c r="L123" s="88" t="s">
        <v>389</v>
      </c>
      <c r="M123" s="89">
        <v>57.65</v>
      </c>
      <c r="N123" s="17">
        <f t="shared" si="52"/>
        <v>75.060299999999998</v>
      </c>
      <c r="O123" s="17">
        <f t="shared" si="53"/>
        <v>48.038592000000001</v>
      </c>
      <c r="P123" s="17">
        <f t="shared" si="49"/>
        <v>6485.2099200000002</v>
      </c>
      <c r="Q123" s="17">
        <f t="shared" si="54"/>
        <v>13798.834920000001</v>
      </c>
      <c r="R123" s="49"/>
    </row>
    <row r="124" spans="2:18" x14ac:dyDescent="0.25">
      <c r="B124" s="48">
        <f>IF(F124&lt;&gt;"",1+MAX($B$22:B123),"")</f>
        <v>54</v>
      </c>
      <c r="C124" s="119"/>
      <c r="D124" s="8" t="s">
        <v>249</v>
      </c>
      <c r="E124" s="23" t="s">
        <v>78</v>
      </c>
      <c r="F124" s="39">
        <v>33.6</v>
      </c>
      <c r="G124" s="17">
        <v>2.0880000000000001</v>
      </c>
      <c r="H124" s="17">
        <f t="shared" si="50"/>
        <v>2.2968000000000002</v>
      </c>
      <c r="I124" s="17">
        <f t="shared" si="48"/>
        <v>77.172480000000007</v>
      </c>
      <c r="J124" s="15">
        <v>5.7000000000000002E-2</v>
      </c>
      <c r="K124" s="10">
        <f t="shared" si="51"/>
        <v>1.9152000000000002</v>
      </c>
      <c r="L124" s="88" t="s">
        <v>388</v>
      </c>
      <c r="M124" s="89">
        <v>46.88</v>
      </c>
      <c r="N124" s="17">
        <f t="shared" si="52"/>
        <v>61.037760000000006</v>
      </c>
      <c r="O124" s="17">
        <f t="shared" si="53"/>
        <v>3.4791523200000003</v>
      </c>
      <c r="P124" s="17">
        <f t="shared" si="49"/>
        <v>116.89951795200001</v>
      </c>
      <c r="Q124" s="17">
        <f t="shared" si="54"/>
        <v>194.071997952</v>
      </c>
      <c r="R124" s="49"/>
    </row>
    <row r="125" spans="2:18" x14ac:dyDescent="0.25">
      <c r="B125" s="48" t="str">
        <f>IF(F125&lt;&gt;"",1+MAX($B$22:B124),"")</f>
        <v/>
      </c>
      <c r="C125" s="52"/>
      <c r="D125" s="8"/>
      <c r="E125" s="23"/>
      <c r="F125" s="39"/>
      <c r="G125" s="17"/>
      <c r="H125" s="17">
        <f t="shared" si="50"/>
        <v>0</v>
      </c>
      <c r="I125" s="17">
        <f t="shared" si="48"/>
        <v>0</v>
      </c>
      <c r="J125" s="15"/>
      <c r="K125" s="10">
        <f t="shared" si="51"/>
        <v>0</v>
      </c>
      <c r="L125" s="10"/>
      <c r="M125" s="17"/>
      <c r="N125" s="17">
        <f t="shared" si="52"/>
        <v>0</v>
      </c>
      <c r="O125" s="17">
        <f t="shared" si="53"/>
        <v>0</v>
      </c>
      <c r="P125" s="17">
        <f t="shared" si="49"/>
        <v>0</v>
      </c>
      <c r="Q125" s="17">
        <f t="shared" si="54"/>
        <v>0</v>
      </c>
      <c r="R125" s="49"/>
    </row>
    <row r="126" spans="2:18" x14ac:dyDescent="0.25">
      <c r="B126" s="67" t="str">
        <f>IF(F126&lt;&gt;"",1+MAX($B$22:B125),"")</f>
        <v/>
      </c>
      <c r="C126" s="68"/>
      <c r="D126" s="69" t="s">
        <v>85</v>
      </c>
      <c r="E126" s="23"/>
      <c r="F126" s="39"/>
      <c r="G126" s="17"/>
      <c r="H126" s="17">
        <f t="shared" si="50"/>
        <v>0</v>
      </c>
      <c r="I126" s="17">
        <f t="shared" si="48"/>
        <v>0</v>
      </c>
      <c r="J126" s="15"/>
      <c r="K126" s="10">
        <f t="shared" si="51"/>
        <v>0</v>
      </c>
      <c r="L126" s="10"/>
      <c r="M126" s="17"/>
      <c r="N126" s="17">
        <f t="shared" si="52"/>
        <v>0</v>
      </c>
      <c r="O126" s="17">
        <f t="shared" si="53"/>
        <v>0</v>
      </c>
      <c r="P126" s="17">
        <f t="shared" si="49"/>
        <v>0</v>
      </c>
      <c r="Q126" s="17">
        <f t="shared" si="54"/>
        <v>0</v>
      </c>
      <c r="R126" s="49"/>
    </row>
    <row r="127" spans="2:18" x14ac:dyDescent="0.25">
      <c r="B127" s="48">
        <f>IF(F127&lt;&gt;"",1+MAX($B$22:B126),"")</f>
        <v>55</v>
      </c>
      <c r="C127" s="119"/>
      <c r="D127" s="8" t="s">
        <v>86</v>
      </c>
      <c r="E127" s="23" t="s">
        <v>78</v>
      </c>
      <c r="F127" s="39">
        <f>(95*2)+65</f>
        <v>255</v>
      </c>
      <c r="G127" s="17">
        <v>2.95</v>
      </c>
      <c r="H127" s="17">
        <f t="shared" si="50"/>
        <v>3.2450000000000006</v>
      </c>
      <c r="I127" s="17">
        <f t="shared" si="48"/>
        <v>827.47500000000014</v>
      </c>
      <c r="J127" s="15">
        <v>3.1984948259642522E-2</v>
      </c>
      <c r="K127" s="10">
        <f t="shared" si="51"/>
        <v>8.1561618062088428</v>
      </c>
      <c r="L127" s="88" t="s">
        <v>381</v>
      </c>
      <c r="M127" s="89">
        <v>53.15</v>
      </c>
      <c r="N127" s="17">
        <f t="shared" si="52"/>
        <v>69.201300000000003</v>
      </c>
      <c r="O127" s="17">
        <f t="shared" si="53"/>
        <v>2.2134</v>
      </c>
      <c r="P127" s="17">
        <f t="shared" si="49"/>
        <v>564.41700000000003</v>
      </c>
      <c r="Q127" s="17">
        <f t="shared" si="54"/>
        <v>1391.8920000000003</v>
      </c>
      <c r="R127" s="49"/>
    </row>
    <row r="128" spans="2:18" x14ac:dyDescent="0.25">
      <c r="B128" s="48">
        <f>IF(F128&lt;&gt;"",1+MAX($B$22:B127),"")</f>
        <v>56</v>
      </c>
      <c r="C128" s="119"/>
      <c r="D128" s="8" t="s">
        <v>87</v>
      </c>
      <c r="E128" s="23" t="s">
        <v>78</v>
      </c>
      <c r="F128" s="39">
        <v>280</v>
      </c>
      <c r="G128" s="17">
        <v>2.95</v>
      </c>
      <c r="H128" s="17">
        <f t="shared" si="50"/>
        <v>3.2450000000000006</v>
      </c>
      <c r="I128" s="17">
        <f t="shared" si="48"/>
        <v>908.60000000000014</v>
      </c>
      <c r="J128" s="15">
        <v>3.1984948259642522E-2</v>
      </c>
      <c r="K128" s="10">
        <f t="shared" si="51"/>
        <v>8.9557855126999062</v>
      </c>
      <c r="L128" s="88" t="s">
        <v>381</v>
      </c>
      <c r="M128" s="89">
        <v>53.15</v>
      </c>
      <c r="N128" s="17">
        <f t="shared" si="52"/>
        <v>69.201300000000003</v>
      </c>
      <c r="O128" s="17">
        <f t="shared" si="53"/>
        <v>2.2134</v>
      </c>
      <c r="P128" s="17">
        <f t="shared" si="49"/>
        <v>619.75199999999995</v>
      </c>
      <c r="Q128" s="17">
        <f t="shared" si="54"/>
        <v>1528.3520000000001</v>
      </c>
      <c r="R128" s="49"/>
    </row>
    <row r="129" spans="2:18" x14ac:dyDescent="0.25">
      <c r="B129" s="48" t="str">
        <f>IF(F129&lt;&gt;"",1+MAX($B$22:B128),"")</f>
        <v/>
      </c>
      <c r="C129" s="52"/>
      <c r="D129" s="8"/>
      <c r="E129" s="23"/>
      <c r="F129" s="39"/>
      <c r="G129" s="17"/>
      <c r="H129" s="17">
        <f t="shared" si="50"/>
        <v>0</v>
      </c>
      <c r="I129" s="17">
        <f t="shared" si="48"/>
        <v>0</v>
      </c>
      <c r="J129" s="15"/>
      <c r="K129" s="10">
        <f t="shared" si="51"/>
        <v>0</v>
      </c>
      <c r="L129" s="10"/>
      <c r="M129" s="17"/>
      <c r="N129" s="17">
        <f t="shared" si="52"/>
        <v>0</v>
      </c>
      <c r="O129" s="17">
        <f t="shared" si="53"/>
        <v>0</v>
      </c>
      <c r="P129" s="17">
        <f t="shared" si="49"/>
        <v>0</v>
      </c>
      <c r="Q129" s="17">
        <f t="shared" si="54"/>
        <v>0</v>
      </c>
      <c r="R129" s="49"/>
    </row>
    <row r="130" spans="2:18" x14ac:dyDescent="0.25">
      <c r="B130" s="67" t="str">
        <f>IF(F130&lt;&gt;"",1+MAX($B$22:B129),"")</f>
        <v/>
      </c>
      <c r="C130" s="68"/>
      <c r="D130" s="69" t="s">
        <v>189</v>
      </c>
      <c r="E130" s="23"/>
      <c r="F130" s="39"/>
      <c r="G130" s="17"/>
      <c r="H130" s="17">
        <f t="shared" si="50"/>
        <v>0</v>
      </c>
      <c r="I130" s="17">
        <f t="shared" si="48"/>
        <v>0</v>
      </c>
      <c r="J130" s="15"/>
      <c r="K130" s="10">
        <f t="shared" si="51"/>
        <v>0</v>
      </c>
      <c r="L130" s="10"/>
      <c r="M130" s="17"/>
      <c r="N130" s="17">
        <f t="shared" si="52"/>
        <v>0</v>
      </c>
      <c r="O130" s="17">
        <f t="shared" si="53"/>
        <v>0</v>
      </c>
      <c r="P130" s="17">
        <f t="shared" si="49"/>
        <v>0</v>
      </c>
      <c r="Q130" s="17">
        <f t="shared" si="54"/>
        <v>0</v>
      </c>
      <c r="R130" s="49"/>
    </row>
    <row r="131" spans="2:18" x14ac:dyDescent="0.25">
      <c r="B131" s="48">
        <f>IF(F131&lt;&gt;"",1+MAX($B$22:B130),"")</f>
        <v>57</v>
      </c>
      <c r="C131" s="52" t="s">
        <v>270</v>
      </c>
      <c r="D131" s="8" t="s">
        <v>190</v>
      </c>
      <c r="E131" s="23" t="s">
        <v>78</v>
      </c>
      <c r="F131" s="39">
        <v>58.72</v>
      </c>
      <c r="G131" s="17">
        <v>1.0224</v>
      </c>
      <c r="H131" s="17">
        <f t="shared" si="50"/>
        <v>1.1246400000000001</v>
      </c>
      <c r="I131" s="17">
        <f t="shared" si="48"/>
        <v>66.038860800000009</v>
      </c>
      <c r="J131" s="15">
        <v>2.8000000000000001E-2</v>
      </c>
      <c r="K131" s="10">
        <f t="shared" si="51"/>
        <v>1.6441600000000001</v>
      </c>
      <c r="L131" s="88" t="s">
        <v>388</v>
      </c>
      <c r="M131" s="89">
        <v>46.88</v>
      </c>
      <c r="N131" s="17">
        <f t="shared" si="52"/>
        <v>61.037760000000006</v>
      </c>
      <c r="O131" s="17">
        <f t="shared" si="53"/>
        <v>1.7090572800000001</v>
      </c>
      <c r="P131" s="17">
        <f t="shared" si="49"/>
        <v>100.3558434816</v>
      </c>
      <c r="Q131" s="17">
        <f t="shared" si="54"/>
        <v>166.39470428160001</v>
      </c>
      <c r="R131" s="49"/>
    </row>
    <row r="132" spans="2:18" x14ac:dyDescent="0.25">
      <c r="B132" s="48" t="str">
        <f>IF(F132&lt;&gt;"",1+MAX($B$22:B131),"")</f>
        <v/>
      </c>
      <c r="C132" s="52"/>
      <c r="D132" s="8"/>
      <c r="E132" s="23"/>
      <c r="F132" s="39"/>
      <c r="G132" s="17"/>
      <c r="H132" s="17">
        <f t="shared" si="50"/>
        <v>0</v>
      </c>
      <c r="I132" s="17">
        <f t="shared" si="48"/>
        <v>0</v>
      </c>
      <c r="J132" s="15"/>
      <c r="K132" s="10">
        <f t="shared" si="51"/>
        <v>0</v>
      </c>
      <c r="L132" s="10"/>
      <c r="M132" s="17"/>
      <c r="N132" s="17">
        <f t="shared" si="52"/>
        <v>0</v>
      </c>
      <c r="O132" s="17">
        <f t="shared" si="53"/>
        <v>0</v>
      </c>
      <c r="P132" s="17">
        <f t="shared" si="49"/>
        <v>0</v>
      </c>
      <c r="Q132" s="17">
        <f t="shared" si="54"/>
        <v>0</v>
      </c>
      <c r="R132" s="49"/>
    </row>
    <row r="133" spans="2:18" x14ac:dyDescent="0.25">
      <c r="B133" s="67" t="str">
        <f>IF(F133&lt;&gt;"",1+MAX($B$22:B132),"")</f>
        <v/>
      </c>
      <c r="C133" s="68"/>
      <c r="D133" s="69" t="s">
        <v>191</v>
      </c>
      <c r="E133" s="23"/>
      <c r="F133" s="39"/>
      <c r="G133" s="17"/>
      <c r="H133" s="17">
        <f t="shared" si="50"/>
        <v>0</v>
      </c>
      <c r="I133" s="17">
        <f t="shared" si="48"/>
        <v>0</v>
      </c>
      <c r="J133" s="15"/>
      <c r="K133" s="10">
        <f t="shared" si="51"/>
        <v>0</v>
      </c>
      <c r="L133" s="10"/>
      <c r="M133" s="17"/>
      <c r="N133" s="17">
        <f t="shared" si="52"/>
        <v>0</v>
      </c>
      <c r="O133" s="17">
        <f t="shared" si="53"/>
        <v>0</v>
      </c>
      <c r="P133" s="17">
        <f t="shared" si="49"/>
        <v>0</v>
      </c>
      <c r="Q133" s="17">
        <f t="shared" si="54"/>
        <v>0</v>
      </c>
      <c r="R133" s="49"/>
    </row>
    <row r="134" spans="2:18" ht="41.4" x14ac:dyDescent="0.25">
      <c r="B134" s="48">
        <f>IF(F134&lt;&gt;"",1+MAX($B$22:B133),"")</f>
        <v>58</v>
      </c>
      <c r="C134" s="119" t="s">
        <v>267</v>
      </c>
      <c r="D134" s="8" t="s">
        <v>192</v>
      </c>
      <c r="E134" s="23" t="s">
        <v>78</v>
      </c>
      <c r="F134" s="39">
        <f>4*2.08+39*6.67</f>
        <v>268.45</v>
      </c>
      <c r="G134" s="17">
        <v>1.6319999999999999</v>
      </c>
      <c r="H134" s="17">
        <f t="shared" si="50"/>
        <v>1.7952000000000001</v>
      </c>
      <c r="I134" s="17">
        <f t="shared" si="48"/>
        <v>481.92144000000002</v>
      </c>
      <c r="J134" s="15">
        <v>5.1999999999999998E-2</v>
      </c>
      <c r="K134" s="10">
        <f t="shared" si="51"/>
        <v>13.959399999999999</v>
      </c>
      <c r="L134" s="88" t="s">
        <v>388</v>
      </c>
      <c r="M134" s="89">
        <v>46.88</v>
      </c>
      <c r="N134" s="17">
        <f t="shared" si="52"/>
        <v>61.037760000000006</v>
      </c>
      <c r="O134" s="17">
        <f t="shared" si="53"/>
        <v>3.17396352</v>
      </c>
      <c r="P134" s="17">
        <f t="shared" si="49"/>
        <v>852.05050694399995</v>
      </c>
      <c r="Q134" s="17">
        <f t="shared" si="54"/>
        <v>1333.9719469439999</v>
      </c>
      <c r="R134" s="49"/>
    </row>
    <row r="135" spans="2:18" ht="41.4" x14ac:dyDescent="0.25">
      <c r="B135" s="48">
        <f>IF(F135&lt;&gt;"",1+MAX($B$22:B134),"")</f>
        <v>59</v>
      </c>
      <c r="C135" s="119"/>
      <c r="D135" s="8" t="s">
        <v>193</v>
      </c>
      <c r="E135" s="23" t="s">
        <v>78</v>
      </c>
      <c r="F135" s="39">
        <f>4*7+4*10.75</f>
        <v>71</v>
      </c>
      <c r="G135" s="17">
        <v>2.448</v>
      </c>
      <c r="H135" s="17">
        <f t="shared" si="50"/>
        <v>2.6928000000000001</v>
      </c>
      <c r="I135" s="17">
        <f t="shared" si="48"/>
        <v>191.18880000000001</v>
      </c>
      <c r="J135" s="15">
        <v>7.8E-2</v>
      </c>
      <c r="K135" s="10">
        <f t="shared" si="51"/>
        <v>5.5380000000000003</v>
      </c>
      <c r="L135" s="88" t="s">
        <v>388</v>
      </c>
      <c r="M135" s="89">
        <v>46.88</v>
      </c>
      <c r="N135" s="17">
        <f t="shared" si="52"/>
        <v>61.037760000000006</v>
      </c>
      <c r="O135" s="17">
        <f t="shared" si="53"/>
        <v>4.7609452800000005</v>
      </c>
      <c r="P135" s="17">
        <f t="shared" si="49"/>
        <v>338.02711488000006</v>
      </c>
      <c r="Q135" s="17">
        <f t="shared" si="54"/>
        <v>529.21591488000013</v>
      </c>
      <c r="R135" s="49"/>
    </row>
    <row r="136" spans="2:18" ht="55.2" x14ac:dyDescent="0.25">
      <c r="B136" s="48">
        <f>IF(F136&lt;&gt;"",1+MAX($B$22:B135),"")</f>
        <v>60</v>
      </c>
      <c r="C136" s="119"/>
      <c r="D136" s="8" t="s">
        <v>194</v>
      </c>
      <c r="E136" s="23" t="s">
        <v>78</v>
      </c>
      <c r="F136" s="39">
        <f>2*3.5+1*5+1*6.67</f>
        <v>18.670000000000002</v>
      </c>
      <c r="G136" s="17">
        <v>2.556</v>
      </c>
      <c r="H136" s="17">
        <f t="shared" si="50"/>
        <v>2.8116000000000003</v>
      </c>
      <c r="I136" s="17">
        <f t="shared" si="48"/>
        <v>52.49257200000001</v>
      </c>
      <c r="J136" s="15">
        <v>8.4000000000000005E-2</v>
      </c>
      <c r="K136" s="10">
        <f t="shared" si="51"/>
        <v>1.5682800000000003</v>
      </c>
      <c r="L136" s="88" t="s">
        <v>388</v>
      </c>
      <c r="M136" s="89">
        <v>46.88</v>
      </c>
      <c r="N136" s="17">
        <f t="shared" si="52"/>
        <v>61.037760000000006</v>
      </c>
      <c r="O136" s="17">
        <f t="shared" si="53"/>
        <v>5.1271718400000008</v>
      </c>
      <c r="P136" s="17">
        <f t="shared" si="49"/>
        <v>95.724298252800025</v>
      </c>
      <c r="Q136" s="17">
        <f t="shared" si="54"/>
        <v>148.21687025280005</v>
      </c>
      <c r="R136" s="49"/>
    </row>
    <row r="137" spans="2:18" ht="27.6" x14ac:dyDescent="0.25">
      <c r="B137" s="48">
        <f>IF(F137&lt;&gt;"",1+MAX($B$22:B136),"")</f>
        <v>61</v>
      </c>
      <c r="C137" s="119"/>
      <c r="D137" s="8" t="s">
        <v>195</v>
      </c>
      <c r="E137" s="23" t="s">
        <v>78</v>
      </c>
      <c r="F137" s="39">
        <f>4*6.67</f>
        <v>26.68</v>
      </c>
      <c r="G137" s="17">
        <v>3.24</v>
      </c>
      <c r="H137" s="17">
        <f t="shared" si="50"/>
        <v>3.5640000000000005</v>
      </c>
      <c r="I137" s="17">
        <f t="shared" si="48"/>
        <v>95.087520000000012</v>
      </c>
      <c r="J137" s="15">
        <v>5.0999999999999997E-2</v>
      </c>
      <c r="K137" s="10">
        <f t="shared" si="51"/>
        <v>1.3606799999999999</v>
      </c>
      <c r="L137" s="88" t="s">
        <v>388</v>
      </c>
      <c r="M137" s="89">
        <v>46.88</v>
      </c>
      <c r="N137" s="17">
        <f t="shared" si="52"/>
        <v>61.037760000000006</v>
      </c>
      <c r="O137" s="17">
        <f t="shared" si="53"/>
        <v>3.11292576</v>
      </c>
      <c r="P137" s="17">
        <f t="shared" si="49"/>
        <v>83.052859276799992</v>
      </c>
      <c r="Q137" s="17">
        <f t="shared" si="54"/>
        <v>178.14037927679999</v>
      </c>
      <c r="R137" s="49"/>
    </row>
    <row r="138" spans="2:18" ht="55.2" x14ac:dyDescent="0.25">
      <c r="B138" s="48">
        <f>IF(F138&lt;&gt;"",1+MAX($B$22:B137),"")</f>
        <v>62</v>
      </c>
      <c r="C138" s="119"/>
      <c r="D138" s="8" t="s">
        <v>196</v>
      </c>
      <c r="E138" s="23" t="s">
        <v>78</v>
      </c>
      <c r="F138" s="39">
        <f>2*1+1*6.33+1*8.08</f>
        <v>16.41</v>
      </c>
      <c r="G138" s="17">
        <v>8.4640000000000004</v>
      </c>
      <c r="H138" s="17">
        <f t="shared" si="50"/>
        <v>9.3104000000000013</v>
      </c>
      <c r="I138" s="17">
        <f t="shared" si="48"/>
        <v>152.78366400000002</v>
      </c>
      <c r="J138" s="15">
        <v>0.15</v>
      </c>
      <c r="K138" s="10">
        <f t="shared" si="51"/>
        <v>2.4615</v>
      </c>
      <c r="L138" s="88" t="s">
        <v>391</v>
      </c>
      <c r="M138" s="89">
        <v>48.9</v>
      </c>
      <c r="N138" s="17">
        <f t="shared" si="52"/>
        <v>63.6678</v>
      </c>
      <c r="O138" s="17">
        <f t="shared" si="53"/>
        <v>9.5501699999999996</v>
      </c>
      <c r="P138" s="17">
        <f t="shared" si="49"/>
        <v>156.71828969999999</v>
      </c>
      <c r="Q138" s="17">
        <f t="shared" si="54"/>
        <v>309.5019537</v>
      </c>
      <c r="R138" s="49"/>
    </row>
    <row r="139" spans="2:18" ht="41.4" x14ac:dyDescent="0.25">
      <c r="B139" s="48">
        <f>IF(F139&lt;&gt;"",1+MAX($B$22:B138),"")</f>
        <v>63</v>
      </c>
      <c r="C139" s="119"/>
      <c r="D139" s="8" t="s">
        <v>197</v>
      </c>
      <c r="E139" s="23" t="s">
        <v>78</v>
      </c>
      <c r="F139" s="39">
        <f>3.5*1+2*8.08</f>
        <v>19.66</v>
      </c>
      <c r="G139" s="17">
        <v>11.464</v>
      </c>
      <c r="H139" s="17">
        <f t="shared" si="50"/>
        <v>12.610400000000002</v>
      </c>
      <c r="I139" s="17">
        <f t="shared" si="48"/>
        <v>247.92046400000004</v>
      </c>
      <c r="J139" s="15">
        <v>0.15</v>
      </c>
      <c r="K139" s="10">
        <f t="shared" si="51"/>
        <v>2.9489999999999998</v>
      </c>
      <c r="L139" s="88" t="s">
        <v>391</v>
      </c>
      <c r="M139" s="89">
        <v>48.9</v>
      </c>
      <c r="N139" s="17">
        <f t="shared" si="52"/>
        <v>63.6678</v>
      </c>
      <c r="O139" s="17">
        <f t="shared" si="53"/>
        <v>9.5501699999999996</v>
      </c>
      <c r="P139" s="17">
        <f t="shared" si="49"/>
        <v>187.75634220000001</v>
      </c>
      <c r="Q139" s="17">
        <f t="shared" si="54"/>
        <v>435.67680620000004</v>
      </c>
      <c r="R139" s="49"/>
    </row>
    <row r="140" spans="2:18" ht="41.4" x14ac:dyDescent="0.25">
      <c r="B140" s="48">
        <f>IF(F140&lt;&gt;"",1+MAX($B$22:B139),"")</f>
        <v>64</v>
      </c>
      <c r="C140" s="119"/>
      <c r="D140" s="8" t="s">
        <v>198</v>
      </c>
      <c r="E140" s="23" t="s">
        <v>78</v>
      </c>
      <c r="F140" s="39">
        <f>2.5*8+3*12</f>
        <v>56</v>
      </c>
      <c r="G140" s="17">
        <v>9.14</v>
      </c>
      <c r="H140" s="17">
        <f t="shared" si="50"/>
        <v>10.054000000000002</v>
      </c>
      <c r="I140" s="17">
        <f t="shared" si="48"/>
        <v>563.02400000000011</v>
      </c>
      <c r="J140" s="15">
        <v>0.14499999999999999</v>
      </c>
      <c r="K140" s="10">
        <f t="shared" si="51"/>
        <v>8.1199999999999992</v>
      </c>
      <c r="L140" s="88" t="s">
        <v>388</v>
      </c>
      <c r="M140" s="89">
        <v>46.88</v>
      </c>
      <c r="N140" s="17">
        <f t="shared" si="52"/>
        <v>61.037760000000006</v>
      </c>
      <c r="O140" s="17">
        <f t="shared" si="53"/>
        <v>8.8504752</v>
      </c>
      <c r="P140" s="17">
        <f t="shared" si="49"/>
        <v>495.62661120000001</v>
      </c>
      <c r="Q140" s="17">
        <f t="shared" si="54"/>
        <v>1058.6506112000002</v>
      </c>
      <c r="R140" s="49"/>
    </row>
    <row r="141" spans="2:18" ht="27.6" x14ac:dyDescent="0.25">
      <c r="B141" s="48">
        <f>IF(F141&lt;&gt;"",1+MAX($B$22:B140),"")</f>
        <v>65</v>
      </c>
      <c r="C141" s="119"/>
      <c r="D141" s="8" t="s">
        <v>199</v>
      </c>
      <c r="E141" s="23" t="s">
        <v>78</v>
      </c>
      <c r="F141" s="39">
        <f>6*7.75</f>
        <v>46.5</v>
      </c>
      <c r="G141" s="17">
        <v>9.14</v>
      </c>
      <c r="H141" s="17">
        <f t="shared" si="50"/>
        <v>10.054000000000002</v>
      </c>
      <c r="I141" s="17">
        <f t="shared" ref="I141" si="60">F141*H141</f>
        <v>467.51100000000008</v>
      </c>
      <c r="J141" s="15">
        <v>0.14499999999999999</v>
      </c>
      <c r="K141" s="10">
        <f t="shared" ref="K141" si="61">F141*J141</f>
        <v>6.7424999999999997</v>
      </c>
      <c r="L141" s="88" t="s">
        <v>388</v>
      </c>
      <c r="M141" s="89">
        <v>46.88</v>
      </c>
      <c r="N141" s="17">
        <f t="shared" si="52"/>
        <v>61.037760000000006</v>
      </c>
      <c r="O141" s="17">
        <f t="shared" si="53"/>
        <v>8.8504752</v>
      </c>
      <c r="P141" s="17">
        <f t="shared" si="49"/>
        <v>411.54709680000002</v>
      </c>
      <c r="Q141" s="17">
        <f t="shared" si="54"/>
        <v>879.05809680000016</v>
      </c>
      <c r="R141" s="49"/>
    </row>
    <row r="142" spans="2:18" x14ac:dyDescent="0.25">
      <c r="B142" s="48" t="str">
        <f>IF(F142&lt;&gt;"",1+MAX($B$22:B141),"")</f>
        <v/>
      </c>
      <c r="C142" s="52"/>
      <c r="D142" s="8"/>
      <c r="E142" s="23"/>
      <c r="F142" s="39"/>
      <c r="G142" s="17"/>
      <c r="H142" s="17">
        <f t="shared" si="50"/>
        <v>0</v>
      </c>
      <c r="I142" s="17">
        <f t="shared" si="48"/>
        <v>0</v>
      </c>
      <c r="J142" s="15"/>
      <c r="K142" s="10">
        <f t="shared" si="51"/>
        <v>0</v>
      </c>
      <c r="L142" s="10"/>
      <c r="M142" s="17"/>
      <c r="N142" s="17">
        <f t="shared" si="52"/>
        <v>0</v>
      </c>
      <c r="O142" s="17">
        <f t="shared" si="53"/>
        <v>0</v>
      </c>
      <c r="P142" s="17">
        <f t="shared" si="49"/>
        <v>0</v>
      </c>
      <c r="Q142" s="17">
        <f t="shared" si="54"/>
        <v>0</v>
      </c>
      <c r="R142" s="49"/>
    </row>
    <row r="143" spans="2:18" x14ac:dyDescent="0.25">
      <c r="B143" s="67" t="str">
        <f>IF(F143&lt;&gt;"",1+MAX($B$22:B142),"")</f>
        <v/>
      </c>
      <c r="C143" s="68"/>
      <c r="D143" s="69" t="s">
        <v>177</v>
      </c>
      <c r="E143" s="23"/>
      <c r="F143" s="39"/>
      <c r="G143" s="17"/>
      <c r="H143" s="17">
        <f t="shared" si="50"/>
        <v>0</v>
      </c>
      <c r="I143" s="17">
        <f t="shared" si="48"/>
        <v>0</v>
      </c>
      <c r="J143" s="15"/>
      <c r="K143" s="10">
        <f t="shared" si="51"/>
        <v>0</v>
      </c>
      <c r="L143" s="10"/>
      <c r="M143" s="17"/>
      <c r="N143" s="17">
        <f t="shared" si="52"/>
        <v>0</v>
      </c>
      <c r="O143" s="17">
        <f t="shared" si="53"/>
        <v>0</v>
      </c>
      <c r="P143" s="17">
        <f t="shared" si="49"/>
        <v>0</v>
      </c>
      <c r="Q143" s="17">
        <f t="shared" si="54"/>
        <v>0</v>
      </c>
      <c r="R143" s="49"/>
    </row>
    <row r="144" spans="2:18" x14ac:dyDescent="0.25">
      <c r="B144" s="48">
        <f>IF(F144&lt;&gt;"",1+MAX($B$22:B143),"")</f>
        <v>66</v>
      </c>
      <c r="C144" s="119" t="s">
        <v>267</v>
      </c>
      <c r="D144" s="8" t="s">
        <v>178</v>
      </c>
      <c r="E144" s="23" t="s">
        <v>78</v>
      </c>
      <c r="F144" s="39">
        <v>5.77</v>
      </c>
      <c r="G144" s="17">
        <v>9.9600000000000009</v>
      </c>
      <c r="H144" s="17">
        <f t="shared" si="50"/>
        <v>10.956000000000001</v>
      </c>
      <c r="I144" s="17">
        <f t="shared" si="48"/>
        <v>63.216120000000004</v>
      </c>
      <c r="J144" s="15">
        <v>0.3</v>
      </c>
      <c r="K144" s="10">
        <f t="shared" si="51"/>
        <v>1.7309999999999999</v>
      </c>
      <c r="L144" s="88" t="s">
        <v>391</v>
      </c>
      <c r="M144" s="89">
        <v>48.9</v>
      </c>
      <c r="N144" s="17">
        <f t="shared" si="52"/>
        <v>63.6678</v>
      </c>
      <c r="O144" s="17">
        <f t="shared" si="53"/>
        <v>19.100339999999999</v>
      </c>
      <c r="P144" s="17">
        <f t="shared" si="49"/>
        <v>110.20896179999998</v>
      </c>
      <c r="Q144" s="17">
        <f t="shared" si="54"/>
        <v>173.42508179999999</v>
      </c>
      <c r="R144" s="49"/>
    </row>
    <row r="145" spans="2:18" x14ac:dyDescent="0.25">
      <c r="B145" s="48">
        <f>IF(F145&lt;&gt;"",1+MAX($B$22:B144),"")</f>
        <v>67</v>
      </c>
      <c r="C145" s="119"/>
      <c r="D145" s="8" t="s">
        <v>179</v>
      </c>
      <c r="E145" s="23" t="s">
        <v>78</v>
      </c>
      <c r="F145" s="39">
        <v>29.66</v>
      </c>
      <c r="G145" s="17">
        <v>12.192</v>
      </c>
      <c r="H145" s="17">
        <f t="shared" si="50"/>
        <v>13.411200000000001</v>
      </c>
      <c r="I145" s="17">
        <f t="shared" si="48"/>
        <v>397.77619200000004</v>
      </c>
      <c r="J145" s="15">
        <v>0.3</v>
      </c>
      <c r="K145" s="10">
        <f t="shared" si="51"/>
        <v>8.8979999999999997</v>
      </c>
      <c r="L145" s="88" t="s">
        <v>391</v>
      </c>
      <c r="M145" s="89">
        <v>48.9</v>
      </c>
      <c r="N145" s="17">
        <f t="shared" si="52"/>
        <v>63.6678</v>
      </c>
      <c r="O145" s="17">
        <f t="shared" si="53"/>
        <v>19.100339999999999</v>
      </c>
      <c r="P145" s="17">
        <f t="shared" si="49"/>
        <v>566.51608439999995</v>
      </c>
      <c r="Q145" s="17">
        <f t="shared" si="54"/>
        <v>964.29227639999999</v>
      </c>
      <c r="R145" s="49"/>
    </row>
    <row r="146" spans="2:18" x14ac:dyDescent="0.25">
      <c r="B146" s="48">
        <f>IF(F146&lt;&gt;"",1+MAX($B$22:B145),"")</f>
        <v>68</v>
      </c>
      <c r="C146" s="119"/>
      <c r="D146" s="8" t="s">
        <v>180</v>
      </c>
      <c r="E146" s="23" t="s">
        <v>78</v>
      </c>
      <c r="F146" s="39">
        <v>11.87</v>
      </c>
      <c r="G146" s="17">
        <v>2.3039999999999998</v>
      </c>
      <c r="H146" s="17">
        <f t="shared" si="50"/>
        <v>2.5344000000000002</v>
      </c>
      <c r="I146" s="17">
        <f t="shared" si="48"/>
        <v>30.083328000000002</v>
      </c>
      <c r="J146" s="15">
        <v>7.3999999999999996E-2</v>
      </c>
      <c r="K146" s="10">
        <f t="shared" si="51"/>
        <v>0.87837999999999994</v>
      </c>
      <c r="L146" s="88" t="s">
        <v>388</v>
      </c>
      <c r="M146" s="89">
        <v>46.88</v>
      </c>
      <c r="N146" s="17">
        <f t="shared" si="52"/>
        <v>61.037760000000006</v>
      </c>
      <c r="O146" s="17">
        <f t="shared" si="53"/>
        <v>4.5167942400000003</v>
      </c>
      <c r="P146" s="17">
        <f t="shared" si="49"/>
        <v>53.614347628799997</v>
      </c>
      <c r="Q146" s="17">
        <f t="shared" si="54"/>
        <v>83.697675628799999</v>
      </c>
      <c r="R146" s="49"/>
    </row>
    <row r="147" spans="2:18" x14ac:dyDescent="0.25">
      <c r="B147" s="48">
        <f>IF(F147&lt;&gt;"",1+MAX($B$22:B146),"")</f>
        <v>69</v>
      </c>
      <c r="C147" s="119"/>
      <c r="D147" s="8" t="s">
        <v>181</v>
      </c>
      <c r="E147" s="23" t="s">
        <v>78</v>
      </c>
      <c r="F147" s="39">
        <v>74.13</v>
      </c>
      <c r="G147" s="17">
        <v>4.1760000000000002</v>
      </c>
      <c r="H147" s="17">
        <f t="shared" si="50"/>
        <v>4.5936000000000003</v>
      </c>
      <c r="I147" s="17">
        <f t="shared" si="48"/>
        <v>340.52356800000001</v>
      </c>
      <c r="J147" s="15">
        <v>0.114</v>
      </c>
      <c r="K147" s="10">
        <f t="shared" si="51"/>
        <v>8.4508200000000002</v>
      </c>
      <c r="L147" s="88" t="s">
        <v>388</v>
      </c>
      <c r="M147" s="89">
        <v>46.88</v>
      </c>
      <c r="N147" s="17">
        <f t="shared" si="52"/>
        <v>61.037760000000006</v>
      </c>
      <c r="O147" s="17">
        <f t="shared" si="53"/>
        <v>6.9583046400000006</v>
      </c>
      <c r="P147" s="17">
        <f t="shared" si="49"/>
        <v>515.81912296320002</v>
      </c>
      <c r="Q147" s="17">
        <f t="shared" si="54"/>
        <v>856.34269096320008</v>
      </c>
      <c r="R147" s="49"/>
    </row>
    <row r="148" spans="2:18" x14ac:dyDescent="0.25">
      <c r="B148" s="48">
        <f>IF(F148&lt;&gt;"",1+MAX($B$22:B147),"")</f>
        <v>70</v>
      </c>
      <c r="C148" s="119"/>
      <c r="D148" s="8" t="s">
        <v>182</v>
      </c>
      <c r="E148" s="23" t="s">
        <v>78</v>
      </c>
      <c r="F148" s="39">
        <v>142.55000000000001</v>
      </c>
      <c r="G148" s="17">
        <v>5.0199999999999996</v>
      </c>
      <c r="H148" s="17">
        <f t="shared" si="50"/>
        <v>5.5220000000000002</v>
      </c>
      <c r="I148" s="17">
        <f t="shared" si="48"/>
        <v>787.16110000000015</v>
      </c>
      <c r="J148" s="15">
        <v>0.114</v>
      </c>
      <c r="K148" s="10">
        <f t="shared" si="51"/>
        <v>16.250700000000002</v>
      </c>
      <c r="L148" s="88" t="s">
        <v>388</v>
      </c>
      <c r="M148" s="89">
        <v>46.88</v>
      </c>
      <c r="N148" s="17">
        <f t="shared" si="52"/>
        <v>61.037760000000006</v>
      </c>
      <c r="O148" s="17">
        <f t="shared" si="53"/>
        <v>6.9583046400000006</v>
      </c>
      <c r="P148" s="17">
        <f t="shared" si="49"/>
        <v>991.90632643200013</v>
      </c>
      <c r="Q148" s="17">
        <f t="shared" si="54"/>
        <v>1779.0674264320003</v>
      </c>
      <c r="R148" s="49"/>
    </row>
    <row r="149" spans="2:18" x14ac:dyDescent="0.25">
      <c r="B149" s="48">
        <f>IF(F149&lt;&gt;"",1+MAX($B$22:B148),"")</f>
        <v>71</v>
      </c>
      <c r="C149" s="119"/>
      <c r="D149" s="8" t="s">
        <v>183</v>
      </c>
      <c r="E149" s="23" t="s">
        <v>78</v>
      </c>
      <c r="F149" s="39">
        <v>24.78</v>
      </c>
      <c r="G149" s="17">
        <v>31.175999999999998</v>
      </c>
      <c r="H149" s="17">
        <f t="shared" si="50"/>
        <v>34.293599999999998</v>
      </c>
      <c r="I149" s="17">
        <f t="shared" si="48"/>
        <v>849.79540799999995</v>
      </c>
      <c r="J149" s="15">
        <v>0.44999999999999996</v>
      </c>
      <c r="K149" s="10">
        <f t="shared" si="51"/>
        <v>11.151</v>
      </c>
      <c r="L149" s="88" t="s">
        <v>391</v>
      </c>
      <c r="M149" s="89">
        <v>48.9</v>
      </c>
      <c r="N149" s="17">
        <f t="shared" si="52"/>
        <v>63.6678</v>
      </c>
      <c r="O149" s="17">
        <f t="shared" si="53"/>
        <v>28.650509999999997</v>
      </c>
      <c r="P149" s="17">
        <f t="shared" si="49"/>
        <v>709.9596378</v>
      </c>
      <c r="Q149" s="17">
        <f t="shared" si="54"/>
        <v>1559.7550458000001</v>
      </c>
      <c r="R149" s="49"/>
    </row>
    <row r="150" spans="2:18" ht="27.6" x14ac:dyDescent="0.25">
      <c r="B150" s="48">
        <f>IF(F150&lt;&gt;"",1+MAX($B$22:B149),"")</f>
        <v>72</v>
      </c>
      <c r="C150" s="119"/>
      <c r="D150" s="8" t="s">
        <v>185</v>
      </c>
      <c r="E150" s="23" t="s">
        <v>78</v>
      </c>
      <c r="F150" s="39">
        <v>18.37</v>
      </c>
      <c r="G150" s="17">
        <v>12.192</v>
      </c>
      <c r="H150" s="17">
        <f t="shared" si="50"/>
        <v>13.411200000000001</v>
      </c>
      <c r="I150" s="17">
        <f t="shared" si="48"/>
        <v>246.36374400000003</v>
      </c>
      <c r="J150" s="15">
        <v>0.3</v>
      </c>
      <c r="K150" s="10">
        <f t="shared" si="51"/>
        <v>5.5110000000000001</v>
      </c>
      <c r="L150" s="88" t="s">
        <v>391</v>
      </c>
      <c r="M150" s="89">
        <v>48.9</v>
      </c>
      <c r="N150" s="17">
        <f t="shared" si="52"/>
        <v>63.6678</v>
      </c>
      <c r="O150" s="17">
        <f t="shared" si="53"/>
        <v>19.100339999999999</v>
      </c>
      <c r="P150" s="17">
        <f t="shared" si="49"/>
        <v>350.87324580000001</v>
      </c>
      <c r="Q150" s="17">
        <f t="shared" si="54"/>
        <v>597.23698980000006</v>
      </c>
      <c r="R150" s="49"/>
    </row>
    <row r="151" spans="2:18" ht="27.6" x14ac:dyDescent="0.25">
      <c r="B151" s="48">
        <f>IF(F151&lt;&gt;"",1+MAX($B$22:B150),"")</f>
        <v>73</v>
      </c>
      <c r="C151" s="119"/>
      <c r="D151" s="8" t="s">
        <v>186</v>
      </c>
      <c r="E151" s="23" t="s">
        <v>78</v>
      </c>
      <c r="F151" s="39">
        <v>38</v>
      </c>
      <c r="G151" s="17">
        <v>20.783999999999999</v>
      </c>
      <c r="H151" s="17">
        <f t="shared" si="50"/>
        <v>22.862400000000001</v>
      </c>
      <c r="I151" s="17">
        <f t="shared" si="48"/>
        <v>868.77120000000002</v>
      </c>
      <c r="J151" s="15">
        <v>0.3</v>
      </c>
      <c r="K151" s="10">
        <f t="shared" si="51"/>
        <v>11.4</v>
      </c>
      <c r="L151" s="88" t="s">
        <v>391</v>
      </c>
      <c r="M151" s="89">
        <v>48.9</v>
      </c>
      <c r="N151" s="17">
        <f t="shared" si="52"/>
        <v>63.6678</v>
      </c>
      <c r="O151" s="17">
        <f t="shared" si="53"/>
        <v>19.100339999999999</v>
      </c>
      <c r="P151" s="17">
        <f t="shared" si="49"/>
        <v>725.81291999999996</v>
      </c>
      <c r="Q151" s="17">
        <f t="shared" si="54"/>
        <v>1594.58412</v>
      </c>
      <c r="R151" s="49"/>
    </row>
    <row r="152" spans="2:18" ht="27.6" x14ac:dyDescent="0.25">
      <c r="B152" s="48">
        <f>IF(F152&lt;&gt;"",1+MAX($B$22:B151),"")</f>
        <v>74</v>
      </c>
      <c r="C152" s="119"/>
      <c r="D152" s="8" t="s">
        <v>187</v>
      </c>
      <c r="E152" s="23" t="s">
        <v>78</v>
      </c>
      <c r="F152" s="39">
        <v>25.53</v>
      </c>
      <c r="G152" s="17">
        <v>23.376000000000001</v>
      </c>
      <c r="H152" s="17">
        <f t="shared" si="50"/>
        <v>25.713600000000003</v>
      </c>
      <c r="I152" s="17">
        <f t="shared" si="48"/>
        <v>656.46820800000012</v>
      </c>
      <c r="J152" s="15">
        <v>0.3</v>
      </c>
      <c r="K152" s="10">
        <f t="shared" si="51"/>
        <v>7.6589999999999998</v>
      </c>
      <c r="L152" s="88" t="s">
        <v>391</v>
      </c>
      <c r="M152" s="89">
        <v>48.9</v>
      </c>
      <c r="N152" s="17">
        <f t="shared" si="52"/>
        <v>63.6678</v>
      </c>
      <c r="O152" s="17">
        <f t="shared" si="53"/>
        <v>19.100339999999999</v>
      </c>
      <c r="P152" s="17">
        <f t="shared" si="49"/>
        <v>487.63168020000001</v>
      </c>
      <c r="Q152" s="17">
        <f t="shared" si="54"/>
        <v>1144.0998882000001</v>
      </c>
      <c r="R152" s="49"/>
    </row>
    <row r="153" spans="2:18" x14ac:dyDescent="0.25">
      <c r="B153" s="48">
        <f>IF(F153&lt;&gt;"",1+MAX($B$22:B152),"")</f>
        <v>75</v>
      </c>
      <c r="C153" s="119"/>
      <c r="D153" s="8" t="s">
        <v>231</v>
      </c>
      <c r="E153" s="23" t="s">
        <v>78</v>
      </c>
      <c r="F153" s="39">
        <f>30*1.453</f>
        <v>43.59</v>
      </c>
      <c r="G153" s="17">
        <v>2.8559999999999999</v>
      </c>
      <c r="H153" s="17">
        <f t="shared" si="50"/>
        <v>3.1415999999999999</v>
      </c>
      <c r="I153" s="17">
        <f t="shared" si="48"/>
        <v>136.94234400000002</v>
      </c>
      <c r="J153" s="15">
        <v>9.1999999999999998E-2</v>
      </c>
      <c r="K153" s="10">
        <f t="shared" si="51"/>
        <v>4.0102799999999998</v>
      </c>
      <c r="L153" s="88" t="s">
        <v>388</v>
      </c>
      <c r="M153" s="89">
        <v>46.88</v>
      </c>
      <c r="N153" s="17">
        <f t="shared" si="52"/>
        <v>61.037760000000006</v>
      </c>
      <c r="O153" s="17">
        <f t="shared" si="53"/>
        <v>5.6154739200000003</v>
      </c>
      <c r="P153" s="17">
        <f t="shared" si="49"/>
        <v>244.77850817280003</v>
      </c>
      <c r="Q153" s="17">
        <f t="shared" si="54"/>
        <v>381.72085217280005</v>
      </c>
      <c r="R153" s="49"/>
    </row>
    <row r="154" spans="2:18" x14ac:dyDescent="0.25">
      <c r="B154" s="48">
        <f>IF(F154&lt;&gt;"",1+MAX($B$22:B153),"")</f>
        <v>76</v>
      </c>
      <c r="C154" s="119"/>
      <c r="D154" s="8" t="s">
        <v>188</v>
      </c>
      <c r="E154" s="23" t="s">
        <v>78</v>
      </c>
      <c r="F154" s="39">
        <v>39.14</v>
      </c>
      <c r="G154" s="17">
        <v>4.1760000000000002</v>
      </c>
      <c r="H154" s="17">
        <f t="shared" si="50"/>
        <v>4.5936000000000003</v>
      </c>
      <c r="I154" s="17">
        <f t="shared" ref="I154:I155" si="62">F154*H154</f>
        <v>179.79350400000001</v>
      </c>
      <c r="J154" s="15">
        <v>0.114</v>
      </c>
      <c r="K154" s="10">
        <f t="shared" si="51"/>
        <v>4.4619600000000004</v>
      </c>
      <c r="L154" s="88" t="s">
        <v>388</v>
      </c>
      <c r="M154" s="89">
        <v>46.88</v>
      </c>
      <c r="N154" s="17">
        <f t="shared" si="52"/>
        <v>61.037760000000006</v>
      </c>
      <c r="O154" s="17">
        <f t="shared" si="53"/>
        <v>6.9583046400000006</v>
      </c>
      <c r="P154" s="17">
        <f t="shared" ref="P154:P200" si="63">F154*O154</f>
        <v>272.34804360960004</v>
      </c>
      <c r="Q154" s="17">
        <f t="shared" si="54"/>
        <v>452.14154760960002</v>
      </c>
      <c r="R154" s="49"/>
    </row>
    <row r="155" spans="2:18" x14ac:dyDescent="0.25">
      <c r="B155" s="48">
        <f>IF(F155&lt;&gt;"",1+MAX($B$22:B154),"")</f>
        <v>77</v>
      </c>
      <c r="C155" s="119"/>
      <c r="D155" s="8" t="s">
        <v>230</v>
      </c>
      <c r="E155" s="23" t="s">
        <v>78</v>
      </c>
      <c r="F155" s="39">
        <f>34*1.5</f>
        <v>51</v>
      </c>
      <c r="G155" s="17">
        <v>1.4279999999999999</v>
      </c>
      <c r="H155" s="17">
        <f t="shared" ref="H155" si="64">G155*$T$2</f>
        <v>1.5708</v>
      </c>
      <c r="I155" s="17">
        <f t="shared" si="62"/>
        <v>80.110799999999998</v>
      </c>
      <c r="J155" s="15">
        <v>4.5999999999999999E-2</v>
      </c>
      <c r="K155" s="10">
        <f t="shared" ref="K155" si="65">F155*J155</f>
        <v>2.3460000000000001</v>
      </c>
      <c r="L155" s="88" t="s">
        <v>388</v>
      </c>
      <c r="M155" s="89">
        <v>46.88</v>
      </c>
      <c r="N155" s="17">
        <f t="shared" ref="N155:N200" si="66">M155*$U$2</f>
        <v>61.037760000000006</v>
      </c>
      <c r="O155" s="17">
        <f t="shared" ref="O155:O200" si="67">J155*N155</f>
        <v>2.8077369600000002</v>
      </c>
      <c r="P155" s="17">
        <f t="shared" si="63"/>
        <v>143.19458496000001</v>
      </c>
      <c r="Q155" s="17">
        <f t="shared" ref="Q155:Q200" si="68">I155+P155</f>
        <v>223.30538496000003</v>
      </c>
      <c r="R155" s="49"/>
    </row>
    <row r="156" spans="2:18" x14ac:dyDescent="0.25">
      <c r="B156" s="48" t="str">
        <f>IF(F156&lt;&gt;"",1+MAX($B$22:B155),"")</f>
        <v/>
      </c>
      <c r="C156" s="52"/>
      <c r="D156" s="8"/>
      <c r="E156" s="23"/>
      <c r="F156" s="39"/>
      <c r="G156" s="17"/>
      <c r="H156" s="17">
        <f t="shared" ref="H156:H200" si="69">G156*$T$2</f>
        <v>0</v>
      </c>
      <c r="I156" s="17">
        <f t="shared" ref="I156:I200" si="70">F156*H156</f>
        <v>0</v>
      </c>
      <c r="J156" s="15"/>
      <c r="K156" s="10">
        <f t="shared" ref="K156:K200" si="71">F156*J156</f>
        <v>0</v>
      </c>
      <c r="L156" s="10"/>
      <c r="M156" s="17"/>
      <c r="N156" s="17">
        <f t="shared" si="66"/>
        <v>0</v>
      </c>
      <c r="O156" s="17">
        <f t="shared" si="67"/>
        <v>0</v>
      </c>
      <c r="P156" s="17">
        <f t="shared" si="63"/>
        <v>0</v>
      </c>
      <c r="Q156" s="17">
        <f t="shared" si="68"/>
        <v>0</v>
      </c>
      <c r="R156" s="49"/>
    </row>
    <row r="157" spans="2:18" x14ac:dyDescent="0.25">
      <c r="B157" s="67" t="str">
        <f>IF(F157&lt;&gt;"",1+MAX($B$22:B156),"")</f>
        <v/>
      </c>
      <c r="C157" s="68"/>
      <c r="D157" s="69" t="s">
        <v>323</v>
      </c>
      <c r="E157" s="23"/>
      <c r="F157" s="39"/>
      <c r="G157" s="17"/>
      <c r="H157" s="17">
        <f t="shared" si="69"/>
        <v>0</v>
      </c>
      <c r="I157" s="17">
        <f t="shared" si="70"/>
        <v>0</v>
      </c>
      <c r="J157" s="15"/>
      <c r="K157" s="10">
        <f t="shared" si="71"/>
        <v>0</v>
      </c>
      <c r="L157" s="10"/>
      <c r="M157" s="17"/>
      <c r="N157" s="17">
        <f t="shared" si="66"/>
        <v>0</v>
      </c>
      <c r="O157" s="17">
        <f t="shared" si="67"/>
        <v>0</v>
      </c>
      <c r="P157" s="17">
        <f t="shared" si="63"/>
        <v>0</v>
      </c>
      <c r="Q157" s="17">
        <f t="shared" si="68"/>
        <v>0</v>
      </c>
      <c r="R157" s="49"/>
    </row>
    <row r="158" spans="2:18" x14ac:dyDescent="0.25">
      <c r="B158" s="48">
        <f>IF(F158&lt;&gt;"",1+MAX($B$22:B157),"")</f>
        <v>78</v>
      </c>
      <c r="C158" s="52"/>
      <c r="D158" s="8" t="s">
        <v>324</v>
      </c>
      <c r="E158" s="23" t="s">
        <v>73</v>
      </c>
      <c r="F158" s="39">
        <v>673.36</v>
      </c>
      <c r="G158" s="17">
        <v>8.9499999999999993</v>
      </c>
      <c r="H158" s="17">
        <f t="shared" si="69"/>
        <v>9.8450000000000006</v>
      </c>
      <c r="I158" s="17">
        <f t="shared" si="70"/>
        <v>6629.2292000000007</v>
      </c>
      <c r="J158" s="15">
        <v>7.6999999999999999E-2</v>
      </c>
      <c r="K158" s="10">
        <f t="shared" si="71"/>
        <v>51.84872</v>
      </c>
      <c r="L158" s="88" t="s">
        <v>386</v>
      </c>
      <c r="M158" s="89">
        <v>53.15</v>
      </c>
      <c r="N158" s="17">
        <f t="shared" si="66"/>
        <v>69.201300000000003</v>
      </c>
      <c r="O158" s="17">
        <f t="shared" si="67"/>
        <v>5.3285001000000003</v>
      </c>
      <c r="P158" s="17">
        <f t="shared" si="63"/>
        <v>3587.9988273360004</v>
      </c>
      <c r="Q158" s="17">
        <f t="shared" si="68"/>
        <v>10217.228027336001</v>
      </c>
      <c r="R158" s="49"/>
    </row>
    <row r="159" spans="2:18" x14ac:dyDescent="0.25">
      <c r="B159" s="48" t="str">
        <f>IF(F159&lt;&gt;"",1+MAX($B$22:B158),"")</f>
        <v/>
      </c>
      <c r="C159" s="52"/>
      <c r="D159" s="8"/>
      <c r="E159" s="23"/>
      <c r="F159" s="39"/>
      <c r="G159" s="17"/>
      <c r="H159" s="17">
        <f t="shared" si="69"/>
        <v>0</v>
      </c>
      <c r="I159" s="17">
        <f t="shared" si="70"/>
        <v>0</v>
      </c>
      <c r="J159" s="15"/>
      <c r="K159" s="10">
        <f t="shared" si="71"/>
        <v>0</v>
      </c>
      <c r="L159" s="10"/>
      <c r="M159" s="17"/>
      <c r="N159" s="17">
        <f t="shared" si="66"/>
        <v>0</v>
      </c>
      <c r="O159" s="17">
        <f t="shared" si="67"/>
        <v>0</v>
      </c>
      <c r="P159" s="17">
        <f t="shared" si="63"/>
        <v>0</v>
      </c>
      <c r="Q159" s="17">
        <f t="shared" si="68"/>
        <v>0</v>
      </c>
      <c r="R159" s="49"/>
    </row>
    <row r="160" spans="2:18" x14ac:dyDescent="0.25">
      <c r="B160" s="67" t="str">
        <f>IF(F160&lt;&gt;"",1+MAX($B$22:B159),"")</f>
        <v/>
      </c>
      <c r="C160" s="68"/>
      <c r="D160" s="69" t="s">
        <v>216</v>
      </c>
      <c r="E160" s="23"/>
      <c r="F160" s="39"/>
      <c r="G160" s="17"/>
      <c r="H160" s="17">
        <f t="shared" si="69"/>
        <v>0</v>
      </c>
      <c r="I160" s="17">
        <f t="shared" si="70"/>
        <v>0</v>
      </c>
      <c r="J160" s="15"/>
      <c r="K160" s="10">
        <f t="shared" si="71"/>
        <v>0</v>
      </c>
      <c r="L160" s="10"/>
      <c r="M160" s="17"/>
      <c r="N160" s="17">
        <f t="shared" si="66"/>
        <v>0</v>
      </c>
      <c r="O160" s="17">
        <f t="shared" si="67"/>
        <v>0</v>
      </c>
      <c r="P160" s="17">
        <f t="shared" si="63"/>
        <v>0</v>
      </c>
      <c r="Q160" s="17">
        <f t="shared" si="68"/>
        <v>0</v>
      </c>
      <c r="R160" s="49"/>
    </row>
    <row r="161" spans="2:18" x14ac:dyDescent="0.25">
      <c r="B161" s="48">
        <f>IF(F161&lt;&gt;"",1+MAX($B$22:B160),"")</f>
        <v>79</v>
      </c>
      <c r="C161" s="119" t="s">
        <v>267</v>
      </c>
      <c r="D161" s="8" t="s">
        <v>217</v>
      </c>
      <c r="E161" s="23" t="s">
        <v>73</v>
      </c>
      <c r="F161" s="39">
        <f>591</f>
        <v>591</v>
      </c>
      <c r="G161" s="17">
        <v>1.8239999999999998</v>
      </c>
      <c r="H161" s="17">
        <f t="shared" si="69"/>
        <v>2.0064000000000002</v>
      </c>
      <c r="I161" s="17">
        <f t="shared" si="70"/>
        <v>1185.7824000000001</v>
      </c>
      <c r="J161" s="15">
        <v>2.1000000000000001E-2</v>
      </c>
      <c r="K161" s="10">
        <f t="shared" si="71"/>
        <v>12.411000000000001</v>
      </c>
      <c r="L161" s="88" t="s">
        <v>388</v>
      </c>
      <c r="M161" s="89">
        <v>46.88</v>
      </c>
      <c r="N161" s="17">
        <f t="shared" si="66"/>
        <v>61.037760000000006</v>
      </c>
      <c r="O161" s="17">
        <f t="shared" si="67"/>
        <v>1.2817929600000002</v>
      </c>
      <c r="P161" s="17">
        <f t="shared" si="63"/>
        <v>757.53963936000014</v>
      </c>
      <c r="Q161" s="17">
        <f t="shared" si="68"/>
        <v>1943.3220393600002</v>
      </c>
      <c r="R161" s="49"/>
    </row>
    <row r="162" spans="2:18" x14ac:dyDescent="0.25">
      <c r="B162" s="48">
        <f>IF(F162&lt;&gt;"",1+MAX($B$22:B161),"")</f>
        <v>80</v>
      </c>
      <c r="C162" s="119"/>
      <c r="D162" s="8" t="s">
        <v>221</v>
      </c>
      <c r="E162" s="23" t="s">
        <v>73</v>
      </c>
      <c r="F162" s="39">
        <f>860*1.014+798*1.054+228*1.118+207*1.25</f>
        <v>2226.7860000000001</v>
      </c>
      <c r="G162" s="17">
        <v>1.8239999999999998</v>
      </c>
      <c r="H162" s="17">
        <f t="shared" si="69"/>
        <v>2.0064000000000002</v>
      </c>
      <c r="I162" s="17">
        <f t="shared" si="70"/>
        <v>4467.8234304000007</v>
      </c>
      <c r="J162" s="15">
        <v>2.1000000000000001E-2</v>
      </c>
      <c r="K162" s="10">
        <f t="shared" si="71"/>
        <v>46.762506000000002</v>
      </c>
      <c r="L162" s="88" t="s">
        <v>388</v>
      </c>
      <c r="M162" s="89">
        <v>46.88</v>
      </c>
      <c r="N162" s="17">
        <f t="shared" si="66"/>
        <v>61.037760000000006</v>
      </c>
      <c r="O162" s="17">
        <f t="shared" si="67"/>
        <v>1.2817929600000002</v>
      </c>
      <c r="P162" s="17">
        <f t="shared" si="63"/>
        <v>2854.2786182265604</v>
      </c>
      <c r="Q162" s="17">
        <f t="shared" si="68"/>
        <v>7322.1020486265606</v>
      </c>
      <c r="R162" s="49"/>
    </row>
    <row r="163" spans="2:18" x14ac:dyDescent="0.25">
      <c r="B163" s="48">
        <f>IF(F163&lt;&gt;"",1+MAX($B$22:B162),"")</f>
        <v>81</v>
      </c>
      <c r="C163" s="52"/>
      <c r="D163" s="8" t="s">
        <v>291</v>
      </c>
      <c r="E163" s="23" t="s">
        <v>73</v>
      </c>
      <c r="F163" s="39">
        <v>1416</v>
      </c>
      <c r="G163" s="17">
        <v>1.8239999999999998</v>
      </c>
      <c r="H163" s="17">
        <f t="shared" si="69"/>
        <v>2.0064000000000002</v>
      </c>
      <c r="I163" s="17">
        <f t="shared" si="70"/>
        <v>2841.0624000000003</v>
      </c>
      <c r="J163" s="15">
        <v>1.9E-2</v>
      </c>
      <c r="K163" s="10">
        <f t="shared" si="71"/>
        <v>26.904</v>
      </c>
      <c r="L163" s="88" t="s">
        <v>388</v>
      </c>
      <c r="M163" s="89">
        <v>46.88</v>
      </c>
      <c r="N163" s="17">
        <f t="shared" si="66"/>
        <v>61.037760000000006</v>
      </c>
      <c r="O163" s="17">
        <f t="shared" si="67"/>
        <v>1.1597174400000001</v>
      </c>
      <c r="P163" s="17">
        <f t="shared" si="63"/>
        <v>1642.15989504</v>
      </c>
      <c r="Q163" s="17">
        <f t="shared" si="68"/>
        <v>4483.2222950400001</v>
      </c>
      <c r="R163" s="49"/>
    </row>
    <row r="164" spans="2:18" x14ac:dyDescent="0.25">
      <c r="B164" s="48" t="str">
        <f>IF(F164&lt;&gt;"",1+MAX($B$22:B163),"")</f>
        <v/>
      </c>
      <c r="C164" s="52"/>
      <c r="D164" s="8"/>
      <c r="E164" s="23"/>
      <c r="F164" s="39"/>
      <c r="G164" s="17"/>
      <c r="H164" s="17">
        <f t="shared" si="69"/>
        <v>0</v>
      </c>
      <c r="I164" s="17">
        <f t="shared" si="70"/>
        <v>0</v>
      </c>
      <c r="J164" s="15"/>
      <c r="K164" s="10">
        <f t="shared" si="71"/>
        <v>0</v>
      </c>
      <c r="L164" s="10"/>
      <c r="M164" s="17"/>
      <c r="N164" s="17">
        <f t="shared" si="66"/>
        <v>0</v>
      </c>
      <c r="O164" s="17">
        <f t="shared" si="67"/>
        <v>0</v>
      </c>
      <c r="P164" s="17">
        <f t="shared" si="63"/>
        <v>0</v>
      </c>
      <c r="Q164" s="17">
        <f t="shared" si="68"/>
        <v>0</v>
      </c>
      <c r="R164" s="49"/>
    </row>
    <row r="165" spans="2:18" x14ac:dyDescent="0.25">
      <c r="B165" s="67" t="str">
        <f>IF(F165&lt;&gt;"",1+MAX($B$22:B164),"")</f>
        <v/>
      </c>
      <c r="C165" s="68"/>
      <c r="D165" s="69" t="s">
        <v>202</v>
      </c>
      <c r="E165" s="23"/>
      <c r="F165" s="39"/>
      <c r="G165" s="17"/>
      <c r="H165" s="17">
        <f t="shared" si="69"/>
        <v>0</v>
      </c>
      <c r="I165" s="17">
        <f t="shared" si="70"/>
        <v>0</v>
      </c>
      <c r="J165" s="15"/>
      <c r="K165" s="10">
        <f t="shared" si="71"/>
        <v>0</v>
      </c>
      <c r="L165" s="10"/>
      <c r="M165" s="17"/>
      <c r="N165" s="17">
        <f t="shared" si="66"/>
        <v>0</v>
      </c>
      <c r="O165" s="17">
        <f t="shared" si="67"/>
        <v>0</v>
      </c>
      <c r="P165" s="17">
        <f t="shared" si="63"/>
        <v>0</v>
      </c>
      <c r="Q165" s="17">
        <f t="shared" si="68"/>
        <v>0</v>
      </c>
      <c r="R165" s="49"/>
    </row>
    <row r="166" spans="2:18" x14ac:dyDescent="0.25">
      <c r="B166" s="48">
        <f>IF(F166&lt;&gt;"",1+MAX($B$22:B165),"")</f>
        <v>82</v>
      </c>
      <c r="C166" s="52" t="s">
        <v>268</v>
      </c>
      <c r="D166" s="8" t="s">
        <v>203</v>
      </c>
      <c r="E166" s="23" t="s">
        <v>78</v>
      </c>
      <c r="F166" s="39">
        <f>(122+199)/4</f>
        <v>80.25</v>
      </c>
      <c r="G166" s="17">
        <v>0.81599999999999995</v>
      </c>
      <c r="H166" s="17">
        <f t="shared" si="69"/>
        <v>0.89760000000000006</v>
      </c>
      <c r="I166" s="17">
        <f t="shared" si="70"/>
        <v>72.03240000000001</v>
      </c>
      <c r="J166" s="15">
        <v>2.5999999999999999E-2</v>
      </c>
      <c r="K166" s="10">
        <f t="shared" si="71"/>
        <v>2.0865</v>
      </c>
      <c r="L166" s="88" t="s">
        <v>388</v>
      </c>
      <c r="M166" s="89">
        <v>46.88</v>
      </c>
      <c r="N166" s="17">
        <f t="shared" si="66"/>
        <v>61.037760000000006</v>
      </c>
      <c r="O166" s="17">
        <f t="shared" si="67"/>
        <v>1.58698176</v>
      </c>
      <c r="P166" s="17">
        <f t="shared" si="63"/>
        <v>127.35528624</v>
      </c>
      <c r="Q166" s="17">
        <f t="shared" si="68"/>
        <v>199.38768623999999</v>
      </c>
      <c r="R166" s="49"/>
    </row>
    <row r="167" spans="2:18" x14ac:dyDescent="0.25">
      <c r="B167" s="48" t="str">
        <f>IF(F167&lt;&gt;"",1+MAX($B$22:B166),"")</f>
        <v/>
      </c>
      <c r="C167" s="52"/>
      <c r="D167" s="8"/>
      <c r="E167" s="23"/>
      <c r="F167" s="39"/>
      <c r="G167" s="17"/>
      <c r="H167" s="17">
        <f t="shared" si="69"/>
        <v>0</v>
      </c>
      <c r="I167" s="17">
        <f t="shared" si="70"/>
        <v>0</v>
      </c>
      <c r="J167" s="15"/>
      <c r="K167" s="10">
        <f t="shared" si="71"/>
        <v>0</v>
      </c>
      <c r="L167" s="10"/>
      <c r="M167" s="17"/>
      <c r="N167" s="17">
        <f t="shared" si="66"/>
        <v>0</v>
      </c>
      <c r="O167" s="17">
        <f t="shared" si="67"/>
        <v>0</v>
      </c>
      <c r="P167" s="17">
        <f t="shared" si="63"/>
        <v>0</v>
      </c>
      <c r="Q167" s="17">
        <f t="shared" si="68"/>
        <v>0</v>
      </c>
      <c r="R167" s="49"/>
    </row>
    <row r="168" spans="2:18" x14ac:dyDescent="0.25">
      <c r="B168" s="67" t="str">
        <f>IF(F168&lt;&gt;"",1+MAX($B$22:B167),"")</f>
        <v/>
      </c>
      <c r="C168" s="68"/>
      <c r="D168" s="69" t="s">
        <v>214</v>
      </c>
      <c r="E168" s="23"/>
      <c r="F168" s="39"/>
      <c r="G168" s="17"/>
      <c r="H168" s="17">
        <f t="shared" si="69"/>
        <v>0</v>
      </c>
      <c r="I168" s="17">
        <f t="shared" si="70"/>
        <v>0</v>
      </c>
      <c r="J168" s="15"/>
      <c r="K168" s="10">
        <f t="shared" si="71"/>
        <v>0</v>
      </c>
      <c r="L168" s="10"/>
      <c r="M168" s="17"/>
      <c r="N168" s="17">
        <f t="shared" si="66"/>
        <v>0</v>
      </c>
      <c r="O168" s="17">
        <f t="shared" si="67"/>
        <v>0</v>
      </c>
      <c r="P168" s="17">
        <f t="shared" si="63"/>
        <v>0</v>
      </c>
      <c r="Q168" s="17">
        <f t="shared" si="68"/>
        <v>0</v>
      </c>
      <c r="R168" s="49"/>
    </row>
    <row r="169" spans="2:18" x14ac:dyDescent="0.25">
      <c r="B169" s="48">
        <f>IF(F169&lt;&gt;"",1+MAX($B$22:B168),"")</f>
        <v>83</v>
      </c>
      <c r="C169" s="52" t="s">
        <v>267</v>
      </c>
      <c r="D169" s="8" t="s">
        <v>215</v>
      </c>
      <c r="E169" s="23" t="s">
        <v>78</v>
      </c>
      <c r="F169" s="39">
        <v>106.25</v>
      </c>
      <c r="G169" s="17">
        <v>2.0880000000000001</v>
      </c>
      <c r="H169" s="17">
        <f t="shared" si="69"/>
        <v>2.2968000000000002</v>
      </c>
      <c r="I169" s="17">
        <f t="shared" si="70"/>
        <v>244.03500000000003</v>
      </c>
      <c r="J169" s="15">
        <v>5.7000000000000002E-2</v>
      </c>
      <c r="K169" s="10">
        <f t="shared" si="71"/>
        <v>6.0562500000000004</v>
      </c>
      <c r="L169" s="88" t="s">
        <v>388</v>
      </c>
      <c r="M169" s="89">
        <v>46.88</v>
      </c>
      <c r="N169" s="17">
        <f t="shared" si="66"/>
        <v>61.037760000000006</v>
      </c>
      <c r="O169" s="17">
        <f t="shared" si="67"/>
        <v>3.4791523200000003</v>
      </c>
      <c r="P169" s="17">
        <f t="shared" si="63"/>
        <v>369.65993400000002</v>
      </c>
      <c r="Q169" s="17">
        <f t="shared" si="68"/>
        <v>613.6949340000001</v>
      </c>
      <c r="R169" s="49"/>
    </row>
    <row r="170" spans="2:18" x14ac:dyDescent="0.25">
      <c r="B170" s="48" t="str">
        <f>IF(F170&lt;&gt;"",1+MAX($B$22:B169),"")</f>
        <v/>
      </c>
      <c r="C170" s="52"/>
      <c r="D170" s="8"/>
      <c r="E170" s="23"/>
      <c r="F170" s="39"/>
      <c r="G170" s="17"/>
      <c r="H170" s="17">
        <f t="shared" si="69"/>
        <v>0</v>
      </c>
      <c r="I170" s="17">
        <f t="shared" si="70"/>
        <v>0</v>
      </c>
      <c r="J170" s="15"/>
      <c r="K170" s="10">
        <f t="shared" si="71"/>
        <v>0</v>
      </c>
      <c r="L170" s="10"/>
      <c r="M170" s="17"/>
      <c r="N170" s="17">
        <f t="shared" si="66"/>
        <v>0</v>
      </c>
      <c r="O170" s="17">
        <f t="shared" si="67"/>
        <v>0</v>
      </c>
      <c r="P170" s="17">
        <f t="shared" si="63"/>
        <v>0</v>
      </c>
      <c r="Q170" s="17">
        <f t="shared" si="68"/>
        <v>0</v>
      </c>
      <c r="R170" s="49"/>
    </row>
    <row r="171" spans="2:18" x14ac:dyDescent="0.25">
      <c r="B171" s="67" t="str">
        <f>IF(F171&lt;&gt;"",1+MAX($B$22:B170),"")</f>
        <v/>
      </c>
      <c r="C171" s="68"/>
      <c r="D171" s="69" t="s">
        <v>206</v>
      </c>
      <c r="E171" s="23"/>
      <c r="F171" s="39"/>
      <c r="G171" s="17"/>
      <c r="H171" s="17">
        <f t="shared" si="69"/>
        <v>0</v>
      </c>
      <c r="I171" s="17">
        <f t="shared" si="70"/>
        <v>0</v>
      </c>
      <c r="J171" s="15"/>
      <c r="K171" s="10">
        <f t="shared" si="71"/>
        <v>0</v>
      </c>
      <c r="L171" s="10"/>
      <c r="M171" s="17"/>
      <c r="N171" s="17">
        <f t="shared" si="66"/>
        <v>0</v>
      </c>
      <c r="O171" s="17">
        <f t="shared" si="67"/>
        <v>0</v>
      </c>
      <c r="P171" s="17">
        <f t="shared" si="63"/>
        <v>0</v>
      </c>
      <c r="Q171" s="17">
        <f t="shared" si="68"/>
        <v>0</v>
      </c>
      <c r="R171" s="49"/>
    </row>
    <row r="172" spans="2:18" x14ac:dyDescent="0.25">
      <c r="B172" s="48">
        <f>IF(F172&lt;&gt;"",1+MAX($B$22:B171),"")</f>
        <v>84</v>
      </c>
      <c r="C172" s="119" t="s">
        <v>267</v>
      </c>
      <c r="D172" s="8" t="s">
        <v>207</v>
      </c>
      <c r="E172" s="23" t="s">
        <v>78</v>
      </c>
      <c r="F172" s="39">
        <f>362/1.33*1.424</f>
        <v>387.58496240601499</v>
      </c>
      <c r="G172" s="17">
        <v>1.1519999999999999</v>
      </c>
      <c r="H172" s="17">
        <f t="shared" si="69"/>
        <v>1.2672000000000001</v>
      </c>
      <c r="I172" s="17">
        <f t="shared" si="70"/>
        <v>491.14766436090224</v>
      </c>
      <c r="J172" s="15">
        <v>3.6999999999999998E-2</v>
      </c>
      <c r="K172" s="10">
        <f t="shared" si="71"/>
        <v>14.340643609022553</v>
      </c>
      <c r="L172" s="88" t="s">
        <v>388</v>
      </c>
      <c r="M172" s="89">
        <v>46.88</v>
      </c>
      <c r="N172" s="17">
        <f t="shared" si="66"/>
        <v>61.037760000000006</v>
      </c>
      <c r="O172" s="17">
        <f t="shared" si="67"/>
        <v>2.2583971200000001</v>
      </c>
      <c r="P172" s="17">
        <f t="shared" si="63"/>
        <v>875.32076285305254</v>
      </c>
      <c r="Q172" s="17">
        <f t="shared" si="68"/>
        <v>1366.4684272139548</v>
      </c>
      <c r="R172" s="49"/>
    </row>
    <row r="173" spans="2:18" x14ac:dyDescent="0.25">
      <c r="B173" s="48">
        <f>IF(F173&lt;&gt;"",1+MAX($B$22:B172),"")</f>
        <v>85</v>
      </c>
      <c r="C173" s="119"/>
      <c r="D173" s="8" t="s">
        <v>208</v>
      </c>
      <c r="E173" s="23" t="s">
        <v>78</v>
      </c>
      <c r="F173" s="39">
        <f>798/1.33*1.453+208/1.33*1.6+206.79/1.33*1.5</f>
        <v>1355.2473684210527</v>
      </c>
      <c r="G173" s="17">
        <v>1.4279999999999999</v>
      </c>
      <c r="H173" s="17">
        <f t="shared" si="69"/>
        <v>1.5708</v>
      </c>
      <c r="I173" s="17">
        <f t="shared" si="70"/>
        <v>2128.8225663157896</v>
      </c>
      <c r="J173" s="15">
        <v>4.5999999999999999E-2</v>
      </c>
      <c r="K173" s="10">
        <f t="shared" si="71"/>
        <v>62.341378947368419</v>
      </c>
      <c r="L173" s="88" t="s">
        <v>388</v>
      </c>
      <c r="M173" s="89">
        <v>46.88</v>
      </c>
      <c r="N173" s="17">
        <f t="shared" si="66"/>
        <v>61.037760000000006</v>
      </c>
      <c r="O173" s="17">
        <f t="shared" si="67"/>
        <v>2.8077369600000002</v>
      </c>
      <c r="P173" s="17">
        <f t="shared" si="63"/>
        <v>3805.1781262585268</v>
      </c>
      <c r="Q173" s="17">
        <f t="shared" si="68"/>
        <v>5934.0006925743164</v>
      </c>
      <c r="R173" s="49"/>
    </row>
    <row r="174" spans="2:18" x14ac:dyDescent="0.25">
      <c r="B174" s="48">
        <f>IF(F174&lt;&gt;"",1+MAX($B$22:B173),"")</f>
        <v>86</v>
      </c>
      <c r="C174" s="119"/>
      <c r="D174" s="8" t="s">
        <v>209</v>
      </c>
      <c r="E174" s="23" t="s">
        <v>78</v>
      </c>
      <c r="F174" s="39">
        <v>46.77</v>
      </c>
      <c r="G174" s="17">
        <v>2.3039999999999998</v>
      </c>
      <c r="H174" s="17">
        <f t="shared" si="69"/>
        <v>2.5344000000000002</v>
      </c>
      <c r="I174" s="17">
        <f t="shared" si="70"/>
        <v>118.53388800000002</v>
      </c>
      <c r="J174" s="15">
        <v>7.3999999999999996E-2</v>
      </c>
      <c r="K174" s="10">
        <f t="shared" si="71"/>
        <v>3.4609800000000002</v>
      </c>
      <c r="L174" s="88" t="s">
        <v>388</v>
      </c>
      <c r="M174" s="89">
        <v>46.88</v>
      </c>
      <c r="N174" s="17">
        <f t="shared" si="66"/>
        <v>61.037760000000006</v>
      </c>
      <c r="O174" s="17">
        <f t="shared" si="67"/>
        <v>4.5167942400000003</v>
      </c>
      <c r="P174" s="17">
        <f t="shared" si="63"/>
        <v>211.25046660480004</v>
      </c>
      <c r="Q174" s="17">
        <f t="shared" si="68"/>
        <v>329.78435460480006</v>
      </c>
      <c r="R174" s="49"/>
    </row>
    <row r="175" spans="2:18" x14ac:dyDescent="0.25">
      <c r="B175" s="48">
        <f>IF(F175&lt;&gt;"",1+MAX($B$22:B174),"")</f>
        <v>87</v>
      </c>
      <c r="C175" s="119"/>
      <c r="D175" s="8" t="s">
        <v>210</v>
      </c>
      <c r="E175" s="23" t="s">
        <v>78</v>
      </c>
      <c r="F175" s="39">
        <v>23.58</v>
      </c>
      <c r="G175" s="17">
        <v>2.8559999999999999</v>
      </c>
      <c r="H175" s="17">
        <f t="shared" si="69"/>
        <v>3.1415999999999999</v>
      </c>
      <c r="I175" s="17">
        <f t="shared" si="70"/>
        <v>74.078927999999991</v>
      </c>
      <c r="J175" s="15">
        <v>9.1999999999999998E-2</v>
      </c>
      <c r="K175" s="10">
        <f t="shared" si="71"/>
        <v>2.1693599999999997</v>
      </c>
      <c r="L175" s="88" t="s">
        <v>388</v>
      </c>
      <c r="M175" s="89">
        <v>46.88</v>
      </c>
      <c r="N175" s="17">
        <f t="shared" si="66"/>
        <v>61.037760000000006</v>
      </c>
      <c r="O175" s="17">
        <f t="shared" si="67"/>
        <v>5.6154739200000003</v>
      </c>
      <c r="P175" s="17">
        <f t="shared" si="63"/>
        <v>132.41287503359999</v>
      </c>
      <c r="Q175" s="17">
        <f t="shared" si="68"/>
        <v>206.49180303359998</v>
      </c>
      <c r="R175" s="49"/>
    </row>
    <row r="176" spans="2:18" x14ac:dyDescent="0.25">
      <c r="B176" s="48">
        <f>IF(F176&lt;&gt;"",1+MAX($B$22:B175),"")</f>
        <v>88</v>
      </c>
      <c r="C176" s="119"/>
      <c r="D176" s="8" t="s">
        <v>211</v>
      </c>
      <c r="E176" s="23" t="s">
        <v>78</v>
      </c>
      <c r="F176" s="39">
        <f>321.98/1.33</f>
        <v>242.09022556390977</v>
      </c>
      <c r="G176" s="17">
        <v>1.1519999999999999</v>
      </c>
      <c r="H176" s="17">
        <f t="shared" si="69"/>
        <v>1.2672000000000001</v>
      </c>
      <c r="I176" s="17">
        <f t="shared" si="70"/>
        <v>306.77673383458648</v>
      </c>
      <c r="J176" s="15">
        <v>3.6999999999999998E-2</v>
      </c>
      <c r="K176" s="10">
        <f t="shared" si="71"/>
        <v>8.9573383458646614</v>
      </c>
      <c r="L176" s="88" t="s">
        <v>388</v>
      </c>
      <c r="M176" s="89">
        <v>46.88</v>
      </c>
      <c r="N176" s="17">
        <f t="shared" si="66"/>
        <v>61.037760000000006</v>
      </c>
      <c r="O176" s="17">
        <f t="shared" si="67"/>
        <v>2.2583971200000001</v>
      </c>
      <c r="P176" s="17">
        <f t="shared" si="63"/>
        <v>546.73586819368427</v>
      </c>
      <c r="Q176" s="17">
        <f t="shared" si="68"/>
        <v>853.51260202827075</v>
      </c>
      <c r="R176" s="49"/>
    </row>
    <row r="177" spans="2:18" x14ac:dyDescent="0.25">
      <c r="B177" s="48">
        <f>IF(F177&lt;&gt;"",1+MAX($B$22:B176),"")</f>
        <v>89</v>
      </c>
      <c r="C177" s="119"/>
      <c r="D177" s="8" t="s">
        <v>212</v>
      </c>
      <c r="E177" s="23" t="s">
        <v>78</v>
      </c>
      <c r="F177" s="39">
        <f>666.28/1.33</f>
        <v>500.96240601503757</v>
      </c>
      <c r="G177" s="17">
        <v>1.38</v>
      </c>
      <c r="H177" s="17">
        <f t="shared" si="69"/>
        <v>1.518</v>
      </c>
      <c r="I177" s="17">
        <f t="shared" si="70"/>
        <v>760.46093233082706</v>
      </c>
      <c r="J177" s="15">
        <v>3.6999999999999998E-2</v>
      </c>
      <c r="K177" s="10">
        <f t="shared" si="71"/>
        <v>18.53560902255639</v>
      </c>
      <c r="L177" s="88" t="s">
        <v>388</v>
      </c>
      <c r="M177" s="89">
        <v>46.88</v>
      </c>
      <c r="N177" s="17">
        <f t="shared" si="66"/>
        <v>61.037760000000006</v>
      </c>
      <c r="O177" s="17">
        <f t="shared" si="67"/>
        <v>2.2583971200000001</v>
      </c>
      <c r="P177" s="17">
        <f t="shared" si="63"/>
        <v>1131.3720549726315</v>
      </c>
      <c r="Q177" s="17">
        <f t="shared" si="68"/>
        <v>1891.8329873034586</v>
      </c>
      <c r="R177" s="49"/>
    </row>
    <row r="178" spans="2:18" x14ac:dyDescent="0.25">
      <c r="B178" s="48">
        <f>IF(F178&lt;&gt;"",1+MAX($B$22:B177),"")</f>
        <v>90</v>
      </c>
      <c r="C178" s="119"/>
      <c r="D178" s="8" t="s">
        <v>213</v>
      </c>
      <c r="E178" s="23" t="s">
        <v>78</v>
      </c>
      <c r="F178" s="39">
        <f>590.85/1.33</f>
        <v>444.24812030075185</v>
      </c>
      <c r="G178" s="17">
        <v>1.4279999999999999</v>
      </c>
      <c r="H178" s="17">
        <f t="shared" si="69"/>
        <v>1.5708</v>
      </c>
      <c r="I178" s="17">
        <f t="shared" si="70"/>
        <v>697.82494736842102</v>
      </c>
      <c r="J178" s="15">
        <v>4.5999999999999999E-2</v>
      </c>
      <c r="K178" s="10">
        <f t="shared" si="71"/>
        <v>20.435413533834584</v>
      </c>
      <c r="L178" s="88" t="s">
        <v>388</v>
      </c>
      <c r="M178" s="89">
        <v>46.88</v>
      </c>
      <c r="N178" s="17">
        <f t="shared" si="66"/>
        <v>61.037760000000006</v>
      </c>
      <c r="O178" s="17">
        <f t="shared" si="67"/>
        <v>2.8077369600000002</v>
      </c>
      <c r="P178" s="17">
        <f t="shared" si="63"/>
        <v>1247.3318667789474</v>
      </c>
      <c r="Q178" s="17">
        <f t="shared" si="68"/>
        <v>1945.1568141473686</v>
      </c>
      <c r="R178" s="49"/>
    </row>
    <row r="179" spans="2:18" x14ac:dyDescent="0.25">
      <c r="B179" s="48" t="str">
        <f>IF(F179&lt;&gt;"",1+MAX($B$22:B178),"")</f>
        <v/>
      </c>
      <c r="C179" s="52"/>
      <c r="D179" s="8"/>
      <c r="E179" s="23"/>
      <c r="F179" s="39"/>
      <c r="G179" s="17"/>
      <c r="H179" s="17">
        <f t="shared" si="69"/>
        <v>0</v>
      </c>
      <c r="I179" s="17">
        <f t="shared" si="70"/>
        <v>0</v>
      </c>
      <c r="J179" s="15"/>
      <c r="K179" s="10">
        <f t="shared" si="71"/>
        <v>0</v>
      </c>
      <c r="L179" s="10"/>
      <c r="M179" s="17"/>
      <c r="N179" s="17">
        <f t="shared" si="66"/>
        <v>0</v>
      </c>
      <c r="O179" s="17">
        <f t="shared" si="67"/>
        <v>0</v>
      </c>
      <c r="P179" s="17">
        <f t="shared" si="63"/>
        <v>0</v>
      </c>
      <c r="Q179" s="17">
        <f t="shared" si="68"/>
        <v>0</v>
      </c>
      <c r="R179" s="49"/>
    </row>
    <row r="180" spans="2:18" x14ac:dyDescent="0.25">
      <c r="B180" s="67" t="str">
        <f>IF(F180&lt;&gt;"",1+MAX($B$22:B179),"")</f>
        <v/>
      </c>
      <c r="C180" s="68"/>
      <c r="D180" s="69" t="s">
        <v>204</v>
      </c>
      <c r="E180" s="23"/>
      <c r="F180" s="39"/>
      <c r="G180" s="17"/>
      <c r="H180" s="17">
        <f t="shared" si="69"/>
        <v>0</v>
      </c>
      <c r="I180" s="17">
        <f t="shared" si="70"/>
        <v>0</v>
      </c>
      <c r="J180" s="15"/>
      <c r="K180" s="10">
        <f t="shared" si="71"/>
        <v>0</v>
      </c>
      <c r="L180" s="10"/>
      <c r="M180" s="17"/>
      <c r="N180" s="17">
        <f t="shared" si="66"/>
        <v>0</v>
      </c>
      <c r="O180" s="17">
        <f t="shared" si="67"/>
        <v>0</v>
      </c>
      <c r="P180" s="17">
        <f t="shared" si="63"/>
        <v>0</v>
      </c>
      <c r="Q180" s="17">
        <f t="shared" si="68"/>
        <v>0</v>
      </c>
      <c r="R180" s="49"/>
    </row>
    <row r="181" spans="2:18" x14ac:dyDescent="0.25">
      <c r="B181" s="48">
        <f>IF(F181&lt;&gt;"",1+MAX($B$22:B180),"")</f>
        <v>91</v>
      </c>
      <c r="C181" s="119" t="s">
        <v>268</v>
      </c>
      <c r="D181" s="8" t="s">
        <v>205</v>
      </c>
      <c r="E181" s="23" t="s">
        <v>78</v>
      </c>
      <c r="F181" s="39">
        <v>51.54</v>
      </c>
      <c r="G181" s="17">
        <v>2.8559999999999999</v>
      </c>
      <c r="H181" s="17">
        <f t="shared" si="69"/>
        <v>3.1415999999999999</v>
      </c>
      <c r="I181" s="17">
        <f t="shared" ref="I181:I182" si="72">F181*H181</f>
        <v>161.91806399999999</v>
      </c>
      <c r="J181" s="15">
        <v>0.13</v>
      </c>
      <c r="K181" s="10">
        <f t="shared" ref="K181:K182" si="73">F181*J181</f>
        <v>6.7001999999999997</v>
      </c>
      <c r="L181" s="88" t="s">
        <v>388</v>
      </c>
      <c r="M181" s="89">
        <v>46.88</v>
      </c>
      <c r="N181" s="17">
        <f t="shared" si="66"/>
        <v>61.037760000000006</v>
      </c>
      <c r="O181" s="17">
        <f t="shared" ref="O181" si="74">J181*N181</f>
        <v>7.9349088000000014</v>
      </c>
      <c r="P181" s="17">
        <f t="shared" ref="P181" si="75">F181*O181</f>
        <v>408.96519955200006</v>
      </c>
      <c r="Q181" s="17">
        <f t="shared" ref="Q181" si="76">I181+P181</f>
        <v>570.88326355200002</v>
      </c>
      <c r="R181" s="49"/>
    </row>
    <row r="182" spans="2:18" x14ac:dyDescent="0.25">
      <c r="B182" s="48">
        <f>IF(F182&lt;&gt;"",1+MAX($B$22:B181),"")</f>
        <v>92</v>
      </c>
      <c r="C182" s="119"/>
      <c r="D182" s="8" t="s">
        <v>184</v>
      </c>
      <c r="E182" s="23" t="s">
        <v>78</v>
      </c>
      <c r="F182" s="39">
        <v>17.34</v>
      </c>
      <c r="G182" s="17">
        <v>9.9600000000000009</v>
      </c>
      <c r="H182" s="17">
        <f t="shared" si="69"/>
        <v>10.956000000000001</v>
      </c>
      <c r="I182" s="17">
        <f t="shared" si="72"/>
        <v>189.97704000000002</v>
      </c>
      <c r="J182" s="15">
        <v>0.3</v>
      </c>
      <c r="K182" s="10">
        <f t="shared" si="73"/>
        <v>5.202</v>
      </c>
      <c r="L182" s="88" t="s">
        <v>391</v>
      </c>
      <c r="M182" s="89">
        <v>48.9</v>
      </c>
      <c r="N182" s="17">
        <f t="shared" si="66"/>
        <v>63.6678</v>
      </c>
      <c r="O182" s="17">
        <f t="shared" si="67"/>
        <v>19.100339999999999</v>
      </c>
      <c r="P182" s="17">
        <f t="shared" si="63"/>
        <v>331.19989559999999</v>
      </c>
      <c r="Q182" s="17">
        <f t="shared" si="68"/>
        <v>521.17693559999998</v>
      </c>
      <c r="R182" s="49"/>
    </row>
    <row r="183" spans="2:18" x14ac:dyDescent="0.25">
      <c r="B183" s="48" t="str">
        <f>IF(F183&lt;&gt;"",1+MAX($B$22:B182),"")</f>
        <v/>
      </c>
      <c r="C183" s="52"/>
      <c r="D183" s="8"/>
      <c r="E183" s="23"/>
      <c r="F183" s="39"/>
      <c r="G183" s="17"/>
      <c r="H183" s="17">
        <f t="shared" si="69"/>
        <v>0</v>
      </c>
      <c r="I183" s="17">
        <f t="shared" si="70"/>
        <v>0</v>
      </c>
      <c r="J183" s="15"/>
      <c r="K183" s="10">
        <f t="shared" si="71"/>
        <v>0</v>
      </c>
      <c r="L183" s="10"/>
      <c r="M183" s="17"/>
      <c r="N183" s="17">
        <f t="shared" si="66"/>
        <v>0</v>
      </c>
      <c r="O183" s="17">
        <f t="shared" si="67"/>
        <v>0</v>
      </c>
      <c r="P183" s="17">
        <f t="shared" si="63"/>
        <v>0</v>
      </c>
      <c r="Q183" s="17">
        <f t="shared" si="68"/>
        <v>0</v>
      </c>
      <c r="R183" s="49"/>
    </row>
    <row r="184" spans="2:18" x14ac:dyDescent="0.25">
      <c r="B184" s="67" t="str">
        <f>IF(F184&lt;&gt;"",1+MAX($B$22:B183),"")</f>
        <v/>
      </c>
      <c r="C184" s="68"/>
      <c r="D184" s="69" t="s">
        <v>200</v>
      </c>
      <c r="E184" s="23"/>
      <c r="F184" s="39"/>
      <c r="G184" s="17"/>
      <c r="H184" s="17">
        <f t="shared" si="69"/>
        <v>0</v>
      </c>
      <c r="I184" s="17">
        <f t="shared" si="70"/>
        <v>0</v>
      </c>
      <c r="J184" s="15"/>
      <c r="K184" s="10">
        <f t="shared" si="71"/>
        <v>0</v>
      </c>
      <c r="L184" s="10"/>
      <c r="M184" s="17"/>
      <c r="N184" s="17">
        <f t="shared" si="66"/>
        <v>0</v>
      </c>
      <c r="O184" s="17">
        <f t="shared" si="67"/>
        <v>0</v>
      </c>
      <c r="P184" s="17">
        <f t="shared" si="63"/>
        <v>0</v>
      </c>
      <c r="Q184" s="17">
        <f t="shared" si="68"/>
        <v>0</v>
      </c>
      <c r="R184" s="49"/>
    </row>
    <row r="185" spans="2:18" x14ac:dyDescent="0.25">
      <c r="B185" s="48">
        <f>IF(F185&lt;&gt;"",1+MAX($B$22:B184),"")</f>
        <v>93</v>
      </c>
      <c r="C185" s="52" t="s">
        <v>270</v>
      </c>
      <c r="D185" s="8" t="s">
        <v>201</v>
      </c>
      <c r="E185" s="23" t="s">
        <v>96</v>
      </c>
      <c r="F185" s="39">
        <v>8</v>
      </c>
      <c r="G185" s="17">
        <v>24.8</v>
      </c>
      <c r="H185" s="17">
        <f t="shared" si="69"/>
        <v>27.280000000000005</v>
      </c>
      <c r="I185" s="17">
        <f t="shared" si="70"/>
        <v>218.24000000000004</v>
      </c>
      <c r="J185" s="15">
        <v>0.30913978494623656</v>
      </c>
      <c r="K185" s="10">
        <f t="shared" si="71"/>
        <v>2.4731182795698925</v>
      </c>
      <c r="L185" s="88" t="s">
        <v>392</v>
      </c>
      <c r="M185" s="89">
        <v>37.200000000000003</v>
      </c>
      <c r="N185" s="17">
        <f t="shared" si="66"/>
        <v>48.434400000000004</v>
      </c>
      <c r="O185" s="17">
        <f t="shared" si="67"/>
        <v>14.973000000000001</v>
      </c>
      <c r="P185" s="17">
        <f t="shared" si="63"/>
        <v>119.78400000000001</v>
      </c>
      <c r="Q185" s="17">
        <f t="shared" si="68"/>
        <v>338.02400000000006</v>
      </c>
      <c r="R185" s="49"/>
    </row>
    <row r="186" spans="2:18" x14ac:dyDescent="0.25">
      <c r="B186" s="48" t="str">
        <f>IF(F186&lt;&gt;"",1+MAX($B$22:B185),"")</f>
        <v/>
      </c>
      <c r="C186" s="52"/>
      <c r="D186" s="8"/>
      <c r="E186" s="23"/>
      <c r="F186" s="39"/>
      <c r="G186" s="17"/>
      <c r="H186" s="17">
        <f t="shared" si="69"/>
        <v>0</v>
      </c>
      <c r="I186" s="17">
        <f t="shared" si="70"/>
        <v>0</v>
      </c>
      <c r="J186" s="15"/>
      <c r="K186" s="10">
        <f t="shared" si="71"/>
        <v>0</v>
      </c>
      <c r="L186" s="10"/>
      <c r="M186" s="17"/>
      <c r="N186" s="17">
        <f t="shared" si="66"/>
        <v>0</v>
      </c>
      <c r="O186" s="17">
        <f t="shared" si="67"/>
        <v>0</v>
      </c>
      <c r="P186" s="17">
        <f t="shared" si="63"/>
        <v>0</v>
      </c>
      <c r="Q186" s="17">
        <f t="shared" si="68"/>
        <v>0</v>
      </c>
      <c r="R186" s="49"/>
    </row>
    <row r="187" spans="2:18" x14ac:dyDescent="0.25">
      <c r="B187" s="67" t="str">
        <f>IF(F187&lt;&gt;"",1+MAX($B$22:B186),"")</f>
        <v/>
      </c>
      <c r="C187" s="68"/>
      <c r="D187" s="69" t="s">
        <v>294</v>
      </c>
      <c r="E187" s="23"/>
      <c r="F187" s="39"/>
      <c r="G187" s="17"/>
      <c r="H187" s="17">
        <f t="shared" si="69"/>
        <v>0</v>
      </c>
      <c r="I187" s="17">
        <f t="shared" si="70"/>
        <v>0</v>
      </c>
      <c r="J187" s="15"/>
      <c r="K187" s="10">
        <f t="shared" si="71"/>
        <v>0</v>
      </c>
      <c r="L187" s="10"/>
      <c r="M187" s="17"/>
      <c r="N187" s="17">
        <f t="shared" si="66"/>
        <v>0</v>
      </c>
      <c r="O187" s="17">
        <f t="shared" si="67"/>
        <v>0</v>
      </c>
      <c r="P187" s="17">
        <f t="shared" si="63"/>
        <v>0</v>
      </c>
      <c r="Q187" s="17">
        <f t="shared" si="68"/>
        <v>0</v>
      </c>
      <c r="R187" s="49"/>
    </row>
    <row r="188" spans="2:18" x14ac:dyDescent="0.25">
      <c r="B188" s="48" t="str">
        <f>IF(F188&lt;&gt;"",1+MAX($B$22:B187),"")</f>
        <v/>
      </c>
      <c r="C188" s="52"/>
      <c r="D188" s="8"/>
      <c r="E188" s="23"/>
      <c r="F188" s="39"/>
      <c r="G188" s="17"/>
      <c r="H188" s="17">
        <f t="shared" si="69"/>
        <v>0</v>
      </c>
      <c r="I188" s="17">
        <f t="shared" si="70"/>
        <v>0</v>
      </c>
      <c r="J188" s="15"/>
      <c r="K188" s="10">
        <f t="shared" si="71"/>
        <v>0</v>
      </c>
      <c r="L188" s="10"/>
      <c r="M188" s="17"/>
      <c r="N188" s="17">
        <f t="shared" si="66"/>
        <v>0</v>
      </c>
      <c r="O188" s="17">
        <f t="shared" si="67"/>
        <v>0</v>
      </c>
      <c r="P188" s="17">
        <f t="shared" si="63"/>
        <v>0</v>
      </c>
      <c r="Q188" s="17">
        <f t="shared" si="68"/>
        <v>0</v>
      </c>
      <c r="R188" s="49"/>
    </row>
    <row r="189" spans="2:18" x14ac:dyDescent="0.25">
      <c r="B189" s="48" t="str">
        <f>IF(F189&lt;&gt;"",1+MAX($B$22:B188),"")</f>
        <v/>
      </c>
      <c r="C189" s="119" t="s">
        <v>278</v>
      </c>
      <c r="D189" s="51" t="s">
        <v>144</v>
      </c>
      <c r="E189" s="23"/>
      <c r="F189" s="39"/>
      <c r="G189" s="17"/>
      <c r="H189" s="17">
        <f t="shared" si="69"/>
        <v>0</v>
      </c>
      <c r="I189" s="17">
        <f t="shared" si="70"/>
        <v>0</v>
      </c>
      <c r="J189" s="15"/>
      <c r="K189" s="10">
        <f t="shared" si="71"/>
        <v>0</v>
      </c>
      <c r="L189" s="10"/>
      <c r="M189" s="17"/>
      <c r="N189" s="17">
        <f t="shared" si="66"/>
        <v>0</v>
      </c>
      <c r="O189" s="17">
        <f t="shared" si="67"/>
        <v>0</v>
      </c>
      <c r="P189" s="17">
        <f t="shared" si="63"/>
        <v>0</v>
      </c>
      <c r="Q189" s="17">
        <f t="shared" si="68"/>
        <v>0</v>
      </c>
      <c r="R189" s="49"/>
    </row>
    <row r="190" spans="2:18" x14ac:dyDescent="0.25">
      <c r="B190" s="48">
        <f>IF(F190&lt;&gt;"",1+MAX($B$22:B189),"")</f>
        <v>94</v>
      </c>
      <c r="C190" s="119"/>
      <c r="D190" s="8" t="s">
        <v>147</v>
      </c>
      <c r="E190" s="23" t="s">
        <v>78</v>
      </c>
      <c r="F190" s="39">
        <v>15</v>
      </c>
      <c r="G190" s="17">
        <v>325</v>
      </c>
      <c r="H190" s="17">
        <f t="shared" si="69"/>
        <v>357.50000000000006</v>
      </c>
      <c r="I190" s="17">
        <f t="shared" si="70"/>
        <v>5362.5000000000009</v>
      </c>
      <c r="J190" s="15">
        <v>1.298</v>
      </c>
      <c r="K190" s="10">
        <f t="shared" si="71"/>
        <v>19.47</v>
      </c>
      <c r="L190" s="88" t="s">
        <v>386</v>
      </c>
      <c r="M190" s="89">
        <v>53.15</v>
      </c>
      <c r="N190" s="17">
        <f t="shared" si="66"/>
        <v>69.201300000000003</v>
      </c>
      <c r="O190" s="17">
        <f t="shared" si="67"/>
        <v>89.823287400000012</v>
      </c>
      <c r="P190" s="17">
        <f t="shared" si="63"/>
        <v>1347.3493110000002</v>
      </c>
      <c r="Q190" s="17">
        <f t="shared" si="68"/>
        <v>6709.8493110000009</v>
      </c>
      <c r="R190" s="49"/>
    </row>
    <row r="191" spans="2:18" x14ac:dyDescent="0.25">
      <c r="B191" s="48" t="str">
        <f>IF(F191&lt;&gt;"",1+MAX($B$22:B190),"")</f>
        <v/>
      </c>
      <c r="C191" s="119"/>
      <c r="D191" s="8"/>
      <c r="E191" s="23"/>
      <c r="F191" s="39"/>
      <c r="G191" s="17"/>
      <c r="H191" s="17">
        <f t="shared" si="69"/>
        <v>0</v>
      </c>
      <c r="I191" s="17">
        <f t="shared" si="70"/>
        <v>0</v>
      </c>
      <c r="J191" s="15"/>
      <c r="K191" s="10">
        <f t="shared" si="71"/>
        <v>0</v>
      </c>
      <c r="L191" s="10"/>
      <c r="M191" s="17"/>
      <c r="N191" s="17">
        <f t="shared" si="66"/>
        <v>0</v>
      </c>
      <c r="O191" s="17">
        <f t="shared" si="67"/>
        <v>0</v>
      </c>
      <c r="P191" s="17">
        <f t="shared" si="63"/>
        <v>0</v>
      </c>
      <c r="Q191" s="17">
        <f t="shared" si="68"/>
        <v>0</v>
      </c>
      <c r="R191" s="49"/>
    </row>
    <row r="192" spans="2:18" x14ac:dyDescent="0.25">
      <c r="B192" s="48" t="str">
        <f>IF(F192&lt;&gt;"",1+MAX($B$22:B191),"")</f>
        <v/>
      </c>
      <c r="C192" s="119"/>
      <c r="D192" s="51" t="s">
        <v>148</v>
      </c>
      <c r="E192" s="23"/>
      <c r="F192" s="39"/>
      <c r="G192" s="17"/>
      <c r="H192" s="17">
        <f t="shared" si="69"/>
        <v>0</v>
      </c>
      <c r="I192" s="17">
        <f t="shared" si="70"/>
        <v>0</v>
      </c>
      <c r="J192" s="15"/>
      <c r="K192" s="10">
        <f t="shared" si="71"/>
        <v>0</v>
      </c>
      <c r="L192" s="10"/>
      <c r="M192" s="17"/>
      <c r="N192" s="17">
        <f t="shared" si="66"/>
        <v>0</v>
      </c>
      <c r="O192" s="17">
        <f t="shared" si="67"/>
        <v>0</v>
      </c>
      <c r="P192" s="17">
        <f t="shared" si="63"/>
        <v>0</v>
      </c>
      <c r="Q192" s="17">
        <f t="shared" si="68"/>
        <v>0</v>
      </c>
      <c r="R192" s="49"/>
    </row>
    <row r="193" spans="2:19" x14ac:dyDescent="0.25">
      <c r="B193" s="48">
        <f>IF(F193&lt;&gt;"",1+MAX($B$22:B192),"")</f>
        <v>95</v>
      </c>
      <c r="C193" s="119"/>
      <c r="D193" s="8" t="s">
        <v>149</v>
      </c>
      <c r="E193" s="23" t="s">
        <v>78</v>
      </c>
      <c r="F193" s="39">
        <v>15</v>
      </c>
      <c r="G193" s="17">
        <v>166</v>
      </c>
      <c r="H193" s="17">
        <f t="shared" si="69"/>
        <v>182.60000000000002</v>
      </c>
      <c r="I193" s="17">
        <f t="shared" si="70"/>
        <v>2739.0000000000005</v>
      </c>
      <c r="J193" s="15">
        <v>0.55000000000000004</v>
      </c>
      <c r="K193" s="10">
        <f t="shared" si="71"/>
        <v>8.25</v>
      </c>
      <c r="L193" s="88" t="s">
        <v>386</v>
      </c>
      <c r="M193" s="89">
        <v>53.15</v>
      </c>
      <c r="N193" s="17">
        <f t="shared" si="66"/>
        <v>69.201300000000003</v>
      </c>
      <c r="O193" s="17">
        <f t="shared" si="67"/>
        <v>38.060715000000002</v>
      </c>
      <c r="P193" s="17">
        <f t="shared" si="63"/>
        <v>570.91072500000007</v>
      </c>
      <c r="Q193" s="17">
        <f t="shared" si="68"/>
        <v>3309.9107250000006</v>
      </c>
      <c r="R193" s="49"/>
    </row>
    <row r="194" spans="2:19" x14ac:dyDescent="0.25">
      <c r="B194" s="48" t="str">
        <f>IF(F194&lt;&gt;"",1+MAX($B$22:B193),"")</f>
        <v/>
      </c>
      <c r="C194" s="119"/>
      <c r="D194" s="8"/>
      <c r="E194" s="23"/>
      <c r="F194" s="39"/>
      <c r="G194" s="17"/>
      <c r="H194" s="17">
        <f t="shared" si="69"/>
        <v>0</v>
      </c>
      <c r="I194" s="17">
        <f t="shared" si="70"/>
        <v>0</v>
      </c>
      <c r="J194" s="15"/>
      <c r="K194" s="10">
        <f t="shared" si="71"/>
        <v>0</v>
      </c>
      <c r="L194" s="10"/>
      <c r="M194" s="17"/>
      <c r="N194" s="17">
        <f t="shared" si="66"/>
        <v>0</v>
      </c>
      <c r="O194" s="17">
        <f t="shared" si="67"/>
        <v>0</v>
      </c>
      <c r="P194" s="17">
        <f t="shared" si="63"/>
        <v>0</v>
      </c>
      <c r="Q194" s="17">
        <f t="shared" si="68"/>
        <v>0</v>
      </c>
      <c r="R194" s="49"/>
    </row>
    <row r="195" spans="2:19" x14ac:dyDescent="0.25">
      <c r="B195" s="48" t="str">
        <f>IF(F195&lt;&gt;"",1+MAX($B$22:B194),"")</f>
        <v/>
      </c>
      <c r="C195" s="119"/>
      <c r="D195" s="51" t="s">
        <v>145</v>
      </c>
      <c r="E195" s="23"/>
      <c r="F195" s="39"/>
      <c r="G195" s="17"/>
      <c r="H195" s="17">
        <f t="shared" si="69"/>
        <v>0</v>
      </c>
      <c r="I195" s="17">
        <f t="shared" si="70"/>
        <v>0</v>
      </c>
      <c r="J195" s="15"/>
      <c r="K195" s="10">
        <f t="shared" si="71"/>
        <v>0</v>
      </c>
      <c r="L195" s="10"/>
      <c r="M195" s="17"/>
      <c r="N195" s="17">
        <f t="shared" si="66"/>
        <v>0</v>
      </c>
      <c r="O195" s="17">
        <f t="shared" si="67"/>
        <v>0</v>
      </c>
      <c r="P195" s="17">
        <f t="shared" si="63"/>
        <v>0</v>
      </c>
      <c r="Q195" s="17">
        <f t="shared" si="68"/>
        <v>0</v>
      </c>
      <c r="R195" s="49"/>
    </row>
    <row r="196" spans="2:19" x14ac:dyDescent="0.25">
      <c r="B196" s="48">
        <f>IF(F196&lt;&gt;"",1+MAX($B$22:B195),"")</f>
        <v>96</v>
      </c>
      <c r="C196" s="119"/>
      <c r="D196" s="8" t="s">
        <v>151</v>
      </c>
      <c r="E196" s="23" t="s">
        <v>78</v>
      </c>
      <c r="F196" s="39">
        <v>23</v>
      </c>
      <c r="G196" s="17">
        <v>185</v>
      </c>
      <c r="H196" s="17">
        <f t="shared" si="69"/>
        <v>203.50000000000003</v>
      </c>
      <c r="I196" s="17">
        <f t="shared" ref="I196:I197" si="77">F196*H196</f>
        <v>4680.5000000000009</v>
      </c>
      <c r="J196" s="15">
        <v>1.7250000000000001</v>
      </c>
      <c r="K196" s="10">
        <f t="shared" ref="K196:K197" si="78">F196*J196</f>
        <v>39.675000000000004</v>
      </c>
      <c r="L196" s="88" t="s">
        <v>386</v>
      </c>
      <c r="M196" s="89">
        <v>53.15</v>
      </c>
      <c r="N196" s="17">
        <f t="shared" si="66"/>
        <v>69.201300000000003</v>
      </c>
      <c r="O196" s="17">
        <f t="shared" si="67"/>
        <v>119.37224250000001</v>
      </c>
      <c r="P196" s="17">
        <f t="shared" si="63"/>
        <v>2745.5615775000001</v>
      </c>
      <c r="Q196" s="17">
        <f t="shared" si="68"/>
        <v>7426.0615775000006</v>
      </c>
      <c r="R196" s="49"/>
    </row>
    <row r="197" spans="2:19" x14ac:dyDescent="0.25">
      <c r="B197" s="48" t="str">
        <f>IF(F197&lt;&gt;"",1+MAX($B$22:B196),"")</f>
        <v/>
      </c>
      <c r="C197" s="119"/>
      <c r="D197" s="8"/>
      <c r="E197" s="23"/>
      <c r="F197" s="39"/>
      <c r="G197" s="17"/>
      <c r="H197" s="17">
        <f t="shared" si="69"/>
        <v>0</v>
      </c>
      <c r="I197" s="17">
        <f t="shared" si="77"/>
        <v>0</v>
      </c>
      <c r="J197" s="15"/>
      <c r="K197" s="10">
        <f t="shared" si="78"/>
        <v>0</v>
      </c>
      <c r="L197" s="10"/>
      <c r="M197" s="17"/>
      <c r="N197" s="17">
        <f t="shared" si="66"/>
        <v>0</v>
      </c>
      <c r="O197" s="17">
        <f t="shared" si="67"/>
        <v>0</v>
      </c>
      <c r="P197" s="17">
        <f t="shared" si="63"/>
        <v>0</v>
      </c>
      <c r="Q197" s="17">
        <f t="shared" si="68"/>
        <v>0</v>
      </c>
      <c r="R197" s="49"/>
    </row>
    <row r="198" spans="2:19" x14ac:dyDescent="0.25">
      <c r="B198" s="48" t="str">
        <f>IF(F198&lt;&gt;"",1+MAX($B$22:B197),"")</f>
        <v/>
      </c>
      <c r="C198" s="119"/>
      <c r="D198" s="51" t="s">
        <v>292</v>
      </c>
      <c r="E198" s="23"/>
      <c r="F198" s="39"/>
      <c r="G198" s="17"/>
      <c r="H198" s="17">
        <f t="shared" si="69"/>
        <v>0</v>
      </c>
      <c r="I198" s="17">
        <f t="shared" si="70"/>
        <v>0</v>
      </c>
      <c r="J198" s="15"/>
      <c r="K198" s="10">
        <f t="shared" si="71"/>
        <v>0</v>
      </c>
      <c r="L198" s="10"/>
      <c r="M198" s="17"/>
      <c r="N198" s="17">
        <f t="shared" si="66"/>
        <v>0</v>
      </c>
      <c r="O198" s="17">
        <f t="shared" si="67"/>
        <v>0</v>
      </c>
      <c r="P198" s="17">
        <f t="shared" si="63"/>
        <v>0</v>
      </c>
      <c r="Q198" s="17">
        <f t="shared" si="68"/>
        <v>0</v>
      </c>
      <c r="R198" s="49"/>
    </row>
    <row r="199" spans="2:19" x14ac:dyDescent="0.25">
      <c r="B199" s="48">
        <f>IF(F199&lt;&gt;"",1+MAX($B$22:B198),"")</f>
        <v>97</v>
      </c>
      <c r="C199" s="119"/>
      <c r="D199" s="8" t="s">
        <v>293</v>
      </c>
      <c r="E199" s="23" t="s">
        <v>96</v>
      </c>
      <c r="F199" s="39">
        <v>1</v>
      </c>
      <c r="G199" s="17">
        <v>440</v>
      </c>
      <c r="H199" s="17">
        <f t="shared" si="69"/>
        <v>484.00000000000006</v>
      </c>
      <c r="I199" s="17">
        <f t="shared" si="70"/>
        <v>484.00000000000006</v>
      </c>
      <c r="J199" s="15">
        <v>3.9780000000000002</v>
      </c>
      <c r="K199" s="10">
        <f t="shared" si="71"/>
        <v>3.9780000000000002</v>
      </c>
      <c r="L199" s="88" t="s">
        <v>381</v>
      </c>
      <c r="M199" s="89">
        <v>53.15</v>
      </c>
      <c r="N199" s="17">
        <f t="shared" si="66"/>
        <v>69.201300000000003</v>
      </c>
      <c r="O199" s="17">
        <f t="shared" si="67"/>
        <v>275.2827714</v>
      </c>
      <c r="P199" s="17">
        <f t="shared" si="63"/>
        <v>275.2827714</v>
      </c>
      <c r="Q199" s="17">
        <f t="shared" si="68"/>
        <v>759.2827714</v>
      </c>
      <c r="R199" s="49"/>
    </row>
    <row r="200" spans="2:19" x14ac:dyDescent="0.25">
      <c r="B200" s="48" t="str">
        <f>IF(F200&lt;&gt;"",1+MAX($B$22:B199),"")</f>
        <v/>
      </c>
      <c r="C200" s="52"/>
      <c r="D200" s="8"/>
      <c r="E200" s="23"/>
      <c r="F200" s="39"/>
      <c r="G200" s="17"/>
      <c r="H200" s="17">
        <f t="shared" si="69"/>
        <v>0</v>
      </c>
      <c r="I200" s="17">
        <f t="shared" si="70"/>
        <v>0</v>
      </c>
      <c r="J200" s="15"/>
      <c r="K200" s="10">
        <f t="shared" si="71"/>
        <v>0</v>
      </c>
      <c r="L200" s="10"/>
      <c r="M200" s="17"/>
      <c r="N200" s="17">
        <f t="shared" si="66"/>
        <v>0</v>
      </c>
      <c r="O200" s="17">
        <f t="shared" si="67"/>
        <v>0</v>
      </c>
      <c r="P200" s="17">
        <f t="shared" si="63"/>
        <v>0</v>
      </c>
      <c r="Q200" s="17">
        <f t="shared" si="68"/>
        <v>0</v>
      </c>
      <c r="R200" s="49"/>
      <c r="S200" s="12"/>
    </row>
    <row r="201" spans="2:19" s="12" customFormat="1" ht="12.75" customHeight="1" x14ac:dyDescent="0.25">
      <c r="B201" s="13" t="str">
        <f>IF(F201&lt;&gt;"",1+MAX($B$22:B200),"")</f>
        <v/>
      </c>
      <c r="C201" s="13" t="s">
        <v>47</v>
      </c>
      <c r="D201" s="6" t="s">
        <v>13</v>
      </c>
      <c r="E201" s="121" t="s">
        <v>61</v>
      </c>
      <c r="F201" s="121"/>
      <c r="G201" s="121"/>
      <c r="H201" s="53">
        <f>SUM(I202:I256)</f>
        <v>64658.107151000004</v>
      </c>
      <c r="I201" s="7">
        <f t="shared" ref="I201" si="79">F201*H201</f>
        <v>0</v>
      </c>
      <c r="J201" s="7"/>
      <c r="K201" s="122" t="s">
        <v>62</v>
      </c>
      <c r="L201" s="122"/>
      <c r="M201" s="122"/>
      <c r="N201" s="122"/>
      <c r="O201" s="53">
        <f>SUM(P202:P256)</f>
        <v>49425.443019317398</v>
      </c>
      <c r="P201" s="7">
        <f t="shared" ref="P201" si="80">F201*O201</f>
        <v>0</v>
      </c>
      <c r="Q201" s="47">
        <f>SUM(Q202:Q256)</f>
        <v>114083.55017031741</v>
      </c>
      <c r="R201" s="47">
        <f>(Q201)+(H201*$Q$8)+(O201*$Q$9)+(Q201*$Q$10)+($Q$11*((Q201)+(H201*$Q$8)+(O201*$Q$9)+(Q201*$Q$10)))+(Q201*$Q$12)</f>
        <v>161728.81553047983</v>
      </c>
    </row>
    <row r="202" spans="2:19" x14ac:dyDescent="0.25">
      <c r="B202" s="48" t="str">
        <f>IF(F202&lt;&gt;"",1+MAX($B$22:B201),"")</f>
        <v/>
      </c>
      <c r="C202" s="52"/>
      <c r="D202" s="8"/>
      <c r="E202" s="23"/>
      <c r="F202" s="39"/>
      <c r="G202" s="17"/>
      <c r="H202" s="17">
        <f t="shared" ref="H202:H256" si="81">G202*$T$2</f>
        <v>0</v>
      </c>
      <c r="I202" s="17">
        <f t="shared" ref="I202:I256" si="82">F202*H202</f>
        <v>0</v>
      </c>
      <c r="J202" s="15"/>
      <c r="K202" s="10">
        <f t="shared" ref="K202:K256" si="83">F202*J202</f>
        <v>0</v>
      </c>
      <c r="L202" s="10"/>
      <c r="M202" s="17"/>
      <c r="N202" s="17">
        <f t="shared" ref="N202:N256" si="84">M202*$U$2</f>
        <v>0</v>
      </c>
      <c r="O202" s="17">
        <f t="shared" ref="O202:O256" si="85">J202*N202</f>
        <v>0</v>
      </c>
      <c r="P202" s="17">
        <f t="shared" ref="P202:P256" si="86">F202*O202</f>
        <v>0</v>
      </c>
      <c r="Q202" s="17">
        <f t="shared" ref="Q202:Q256" si="87">I202+P202</f>
        <v>0</v>
      </c>
      <c r="R202" s="49"/>
      <c r="S202" s="12"/>
    </row>
    <row r="203" spans="2:19" x14ac:dyDescent="0.25">
      <c r="B203" s="67" t="str">
        <f>IF(F203&lt;&gt;"",1+MAX($B$22:B202),"")</f>
        <v/>
      </c>
      <c r="C203" s="68"/>
      <c r="D203" s="69" t="s">
        <v>142</v>
      </c>
      <c r="E203" s="23"/>
      <c r="F203" s="39"/>
      <c r="G203" s="17"/>
      <c r="H203" s="17">
        <f t="shared" si="81"/>
        <v>0</v>
      </c>
      <c r="I203" s="17">
        <f t="shared" si="82"/>
        <v>0</v>
      </c>
      <c r="J203" s="15"/>
      <c r="K203" s="10">
        <f t="shared" si="83"/>
        <v>0</v>
      </c>
      <c r="L203" s="10"/>
      <c r="M203" s="17"/>
      <c r="N203" s="17">
        <f t="shared" si="84"/>
        <v>0</v>
      </c>
      <c r="O203" s="17">
        <f t="shared" si="85"/>
        <v>0</v>
      </c>
      <c r="P203" s="17">
        <f t="shared" si="86"/>
        <v>0</v>
      </c>
      <c r="Q203" s="17">
        <f t="shared" si="87"/>
        <v>0</v>
      </c>
      <c r="R203" s="49"/>
    </row>
    <row r="204" spans="2:19" ht="27.6" x14ac:dyDescent="0.25">
      <c r="B204" s="48">
        <f>IF(F204&lt;&gt;"",1+MAX($B$22:B203),"")</f>
        <v>98</v>
      </c>
      <c r="C204" s="119" t="s">
        <v>268</v>
      </c>
      <c r="D204" s="8" t="s">
        <v>262</v>
      </c>
      <c r="E204" s="23" t="s">
        <v>73</v>
      </c>
      <c r="F204" s="39">
        <f>860*1.014+798*1.054+228*1.118+207*1.25</f>
        <v>2226.7860000000001</v>
      </c>
      <c r="G204" s="17">
        <v>11.35</v>
      </c>
      <c r="H204" s="17">
        <f t="shared" si="81"/>
        <v>12.485000000000001</v>
      </c>
      <c r="I204" s="17">
        <f t="shared" si="82"/>
        <v>27801.423210000004</v>
      </c>
      <c r="J204" s="15">
        <v>9.5000000000000001E-2</v>
      </c>
      <c r="K204" s="10">
        <f t="shared" si="83"/>
        <v>211.54467</v>
      </c>
      <c r="L204" s="88" t="s">
        <v>393</v>
      </c>
      <c r="M204" s="89">
        <v>62.3</v>
      </c>
      <c r="N204" s="17">
        <f t="shared" si="84"/>
        <v>81.114599999999996</v>
      </c>
      <c r="O204" s="17">
        <f t="shared" si="85"/>
        <v>7.7058869999999997</v>
      </c>
      <c r="P204" s="17">
        <f t="shared" si="86"/>
        <v>17159.361289182001</v>
      </c>
      <c r="Q204" s="17">
        <f t="shared" si="87"/>
        <v>44960.784499182002</v>
      </c>
      <c r="R204" s="49"/>
    </row>
    <row r="205" spans="2:19" x14ac:dyDescent="0.25">
      <c r="B205" s="48" t="str">
        <f>IF(F205&lt;&gt;"",1+MAX($B$22:B204),"")</f>
        <v/>
      </c>
      <c r="C205" s="119"/>
      <c r="D205" s="8"/>
      <c r="E205" s="23"/>
      <c r="F205" s="39"/>
      <c r="G205" s="17"/>
      <c r="H205" s="17">
        <f t="shared" si="81"/>
        <v>0</v>
      </c>
      <c r="I205" s="17">
        <f t="shared" si="82"/>
        <v>0</v>
      </c>
      <c r="J205" s="15"/>
      <c r="K205" s="10">
        <f t="shared" si="83"/>
        <v>0</v>
      </c>
      <c r="L205" s="10"/>
      <c r="M205" s="17"/>
      <c r="N205" s="17">
        <f t="shared" si="84"/>
        <v>0</v>
      </c>
      <c r="O205" s="17">
        <f t="shared" si="85"/>
        <v>0</v>
      </c>
      <c r="P205" s="17">
        <f t="shared" si="86"/>
        <v>0</v>
      </c>
      <c r="Q205" s="17">
        <f t="shared" si="87"/>
        <v>0</v>
      </c>
      <c r="R205" s="49"/>
    </row>
    <row r="206" spans="2:19" x14ac:dyDescent="0.25">
      <c r="B206" s="48" t="str">
        <f>IF(F206&lt;&gt;"",1+MAX($B$22:B205),"")</f>
        <v/>
      </c>
      <c r="C206" s="119"/>
      <c r="D206" s="51" t="s">
        <v>135</v>
      </c>
      <c r="E206" s="23"/>
      <c r="F206" s="39"/>
      <c r="G206" s="17"/>
      <c r="H206" s="17">
        <f t="shared" si="81"/>
        <v>0</v>
      </c>
      <c r="I206" s="17">
        <f t="shared" si="82"/>
        <v>0</v>
      </c>
      <c r="J206" s="15"/>
      <c r="K206" s="10">
        <f t="shared" si="83"/>
        <v>0</v>
      </c>
      <c r="L206" s="10"/>
      <c r="M206" s="17"/>
      <c r="N206" s="17">
        <f t="shared" si="84"/>
        <v>0</v>
      </c>
      <c r="O206" s="17">
        <f t="shared" si="85"/>
        <v>0</v>
      </c>
      <c r="P206" s="17">
        <f t="shared" si="86"/>
        <v>0</v>
      </c>
      <c r="Q206" s="17">
        <f t="shared" si="87"/>
        <v>0</v>
      </c>
      <c r="R206" s="49"/>
    </row>
    <row r="207" spans="2:19" x14ac:dyDescent="0.25">
      <c r="B207" s="48">
        <f>IF(F207&lt;&gt;"",1+MAX($B$22:B206),"")</f>
        <v>99</v>
      </c>
      <c r="C207" s="119"/>
      <c r="D207" s="8" t="s">
        <v>222</v>
      </c>
      <c r="E207" s="23" t="s">
        <v>73</v>
      </c>
      <c r="F207" s="39">
        <v>2227</v>
      </c>
      <c r="G207" s="17">
        <v>0.10199999999999999</v>
      </c>
      <c r="H207" s="17">
        <f t="shared" si="81"/>
        <v>0.11220000000000001</v>
      </c>
      <c r="I207" s="17">
        <f t="shared" si="82"/>
        <v>249.86940000000001</v>
      </c>
      <c r="J207" s="15">
        <v>1.3699999999999999E-3</v>
      </c>
      <c r="K207" s="10">
        <f t="shared" si="83"/>
        <v>3.0509899999999996</v>
      </c>
      <c r="L207" s="88" t="s">
        <v>394</v>
      </c>
      <c r="M207" s="89">
        <v>46.2</v>
      </c>
      <c r="N207" s="17">
        <f t="shared" si="84"/>
        <v>60.152400000000007</v>
      </c>
      <c r="O207" s="17">
        <f t="shared" si="85"/>
        <v>8.2408788000000011E-2</v>
      </c>
      <c r="P207" s="17">
        <f t="shared" si="86"/>
        <v>183.52437087600003</v>
      </c>
      <c r="Q207" s="17">
        <f t="shared" si="87"/>
        <v>433.39377087600008</v>
      </c>
      <c r="R207" s="49"/>
    </row>
    <row r="208" spans="2:19" x14ac:dyDescent="0.25">
      <c r="B208" s="48">
        <f>IF(F208&lt;&gt;"",1+MAX($B$22:B207),"")</f>
        <v>100</v>
      </c>
      <c r="C208" s="119"/>
      <c r="D208" s="8" t="s">
        <v>223</v>
      </c>
      <c r="E208" s="23" t="s">
        <v>73</v>
      </c>
      <c r="F208" s="39">
        <f>277*3</f>
        <v>831</v>
      </c>
      <c r="G208" s="17">
        <v>1.25</v>
      </c>
      <c r="H208" s="17">
        <f t="shared" si="81"/>
        <v>1.375</v>
      </c>
      <c r="I208" s="17">
        <f t="shared" si="82"/>
        <v>1142.625</v>
      </c>
      <c r="J208" s="15">
        <v>2.4E-2</v>
      </c>
      <c r="K208" s="10">
        <f t="shared" si="83"/>
        <v>19.943999999999999</v>
      </c>
      <c r="L208" s="88" t="s">
        <v>381</v>
      </c>
      <c r="M208" s="89">
        <v>53.15</v>
      </c>
      <c r="N208" s="17">
        <f t="shared" si="84"/>
        <v>69.201300000000003</v>
      </c>
      <c r="O208" s="17">
        <f t="shared" si="85"/>
        <v>1.6608312000000001</v>
      </c>
      <c r="P208" s="17">
        <f t="shared" si="86"/>
        <v>1380.1507272000001</v>
      </c>
      <c r="Q208" s="17">
        <f t="shared" si="87"/>
        <v>2522.7757271999999</v>
      </c>
      <c r="R208" s="49"/>
    </row>
    <row r="209" spans="2:18" x14ac:dyDescent="0.25">
      <c r="B209" s="48" t="str">
        <f>IF(F209&lt;&gt;"",1+MAX($B$22:B208),"")</f>
        <v/>
      </c>
      <c r="C209" s="119"/>
      <c r="D209" s="8"/>
      <c r="E209" s="23"/>
      <c r="F209" s="39"/>
      <c r="G209" s="17"/>
      <c r="H209" s="17">
        <f t="shared" si="81"/>
        <v>0</v>
      </c>
      <c r="I209" s="17">
        <f t="shared" si="82"/>
        <v>0</v>
      </c>
      <c r="J209" s="15"/>
      <c r="K209" s="10">
        <f t="shared" si="83"/>
        <v>0</v>
      </c>
      <c r="L209" s="10"/>
      <c r="M209" s="17"/>
      <c r="N209" s="17">
        <f t="shared" si="84"/>
        <v>0</v>
      </c>
      <c r="O209" s="17">
        <f t="shared" si="85"/>
        <v>0</v>
      </c>
      <c r="P209" s="17">
        <f t="shared" si="86"/>
        <v>0</v>
      </c>
      <c r="Q209" s="17">
        <f t="shared" si="87"/>
        <v>0</v>
      </c>
      <c r="R209" s="49"/>
    </row>
    <row r="210" spans="2:18" x14ac:dyDescent="0.25">
      <c r="B210" s="48" t="str">
        <f>IF(F210&lt;&gt;"",1+MAX($B$22:B209),"")</f>
        <v/>
      </c>
      <c r="C210" s="119"/>
      <c r="D210" s="51" t="s">
        <v>139</v>
      </c>
      <c r="E210" s="23"/>
      <c r="F210" s="39"/>
      <c r="G210" s="17"/>
      <c r="H210" s="17">
        <f t="shared" si="81"/>
        <v>0</v>
      </c>
      <c r="I210" s="17">
        <f t="shared" si="82"/>
        <v>0</v>
      </c>
      <c r="J210" s="15"/>
      <c r="K210" s="10">
        <f t="shared" si="83"/>
        <v>0</v>
      </c>
      <c r="L210" s="10"/>
      <c r="M210" s="17"/>
      <c r="N210" s="17">
        <f t="shared" si="84"/>
        <v>0</v>
      </c>
      <c r="O210" s="17">
        <f t="shared" si="85"/>
        <v>0</v>
      </c>
      <c r="P210" s="17">
        <f t="shared" si="86"/>
        <v>0</v>
      </c>
      <c r="Q210" s="17">
        <f t="shared" si="87"/>
        <v>0</v>
      </c>
      <c r="R210" s="49"/>
    </row>
    <row r="211" spans="2:18" x14ac:dyDescent="0.25">
      <c r="B211" s="48">
        <f>IF(F211&lt;&gt;"",1+MAX($B$22:B210),"")</f>
        <v>101</v>
      </c>
      <c r="C211" s="119"/>
      <c r="D211" s="8" t="s">
        <v>140</v>
      </c>
      <c r="E211" s="23" t="s">
        <v>78</v>
      </c>
      <c r="F211" s="39">
        <v>121</v>
      </c>
      <c r="G211" s="17">
        <v>6.25</v>
      </c>
      <c r="H211" s="17">
        <f t="shared" si="81"/>
        <v>6.8750000000000009</v>
      </c>
      <c r="I211" s="17">
        <f t="shared" si="82"/>
        <v>831.87500000000011</v>
      </c>
      <c r="J211" s="77">
        <v>6.8000000000000005E-2</v>
      </c>
      <c r="K211" s="78">
        <f t="shared" si="83"/>
        <v>8.2279999999999998</v>
      </c>
      <c r="L211" s="78" t="s">
        <v>395</v>
      </c>
      <c r="M211" s="17">
        <v>35.799999999999997</v>
      </c>
      <c r="N211" s="17">
        <f t="shared" si="84"/>
        <v>46.611599999999996</v>
      </c>
      <c r="O211" s="17">
        <f t="shared" si="85"/>
        <v>3.1695888000000001</v>
      </c>
      <c r="P211" s="17">
        <f t="shared" si="86"/>
        <v>383.5202448</v>
      </c>
      <c r="Q211" s="17">
        <f t="shared" si="87"/>
        <v>1215.3952448</v>
      </c>
      <c r="R211" s="49"/>
    </row>
    <row r="212" spans="2:18" x14ac:dyDescent="0.25">
      <c r="B212" s="48">
        <f>IF(F212&lt;&gt;"",1+MAX($B$22:B211),"")</f>
        <v>102</v>
      </c>
      <c r="C212" s="119"/>
      <c r="D212" s="8" t="s">
        <v>141</v>
      </c>
      <c r="E212" s="23" t="s">
        <v>78</v>
      </c>
      <c r="F212" s="39">
        <f>30*1.453+34*1.5</f>
        <v>94.59</v>
      </c>
      <c r="G212" s="17">
        <v>1.65</v>
      </c>
      <c r="H212" s="17">
        <f t="shared" si="81"/>
        <v>1.8149999999999999</v>
      </c>
      <c r="I212" s="17">
        <f t="shared" si="82"/>
        <v>171.68084999999999</v>
      </c>
      <c r="J212" s="77">
        <v>3.5000000000000003E-2</v>
      </c>
      <c r="K212" s="78">
        <f t="shared" si="83"/>
        <v>3.3106500000000003</v>
      </c>
      <c r="L212" s="78" t="s">
        <v>395</v>
      </c>
      <c r="M212" s="17">
        <v>35.799999999999997</v>
      </c>
      <c r="N212" s="17">
        <f t="shared" si="84"/>
        <v>46.611599999999996</v>
      </c>
      <c r="O212" s="17">
        <f t="shared" si="85"/>
        <v>1.6314059999999999</v>
      </c>
      <c r="P212" s="17">
        <f t="shared" si="86"/>
        <v>154.31469354000001</v>
      </c>
      <c r="Q212" s="17">
        <f t="shared" si="87"/>
        <v>325.99554353999997</v>
      </c>
      <c r="R212" s="49"/>
    </row>
    <row r="213" spans="2:18" x14ac:dyDescent="0.25">
      <c r="B213" s="48" t="str">
        <f>IF(F213&lt;&gt;"",1+MAX($B$22:B212),"")</f>
        <v/>
      </c>
      <c r="C213" s="119"/>
      <c r="D213" s="8"/>
      <c r="E213" s="23"/>
      <c r="F213" s="39"/>
      <c r="G213" s="17"/>
      <c r="H213" s="17">
        <f t="shared" si="81"/>
        <v>0</v>
      </c>
      <c r="I213" s="17">
        <f t="shared" si="82"/>
        <v>0</v>
      </c>
      <c r="J213" s="15"/>
      <c r="K213" s="10">
        <f t="shared" si="83"/>
        <v>0</v>
      </c>
      <c r="L213" s="10"/>
      <c r="M213" s="17"/>
      <c r="N213" s="17">
        <f t="shared" si="84"/>
        <v>0</v>
      </c>
      <c r="O213" s="17">
        <f t="shared" si="85"/>
        <v>0</v>
      </c>
      <c r="P213" s="17">
        <f t="shared" si="86"/>
        <v>0</v>
      </c>
      <c r="Q213" s="17">
        <f t="shared" si="87"/>
        <v>0</v>
      </c>
      <c r="R213" s="49"/>
    </row>
    <row r="214" spans="2:18" x14ac:dyDescent="0.25">
      <c r="B214" s="48" t="str">
        <f>IF(F214&lt;&gt;"",1+MAX($B$22:B213),"")</f>
        <v/>
      </c>
      <c r="C214" s="119"/>
      <c r="D214" s="51" t="s">
        <v>146</v>
      </c>
      <c r="E214" s="23"/>
      <c r="F214" s="39"/>
      <c r="G214" s="17"/>
      <c r="H214" s="17">
        <f t="shared" si="81"/>
        <v>0</v>
      </c>
      <c r="I214" s="17">
        <f t="shared" si="82"/>
        <v>0</v>
      </c>
      <c r="J214" s="15"/>
      <c r="K214" s="10">
        <f t="shared" si="83"/>
        <v>0</v>
      </c>
      <c r="L214" s="10"/>
      <c r="M214" s="17"/>
      <c r="N214" s="17">
        <f t="shared" si="84"/>
        <v>0</v>
      </c>
      <c r="O214" s="17">
        <f t="shared" si="85"/>
        <v>0</v>
      </c>
      <c r="P214" s="17">
        <f t="shared" si="86"/>
        <v>0</v>
      </c>
      <c r="Q214" s="17">
        <f t="shared" si="87"/>
        <v>0</v>
      </c>
      <c r="R214" s="49"/>
    </row>
    <row r="215" spans="2:18" x14ac:dyDescent="0.25">
      <c r="B215" s="48">
        <f>IF(F215&lt;&gt;"",1+MAX($B$22:B214),"")</f>
        <v>103</v>
      </c>
      <c r="C215" s="119"/>
      <c r="D215" s="8" t="s">
        <v>224</v>
      </c>
      <c r="E215" s="23" t="s">
        <v>73</v>
      </c>
      <c r="F215" s="39">
        <f>(160+8*1.6+39*1.453)*1+(48*0.5)</f>
        <v>253.46700000000001</v>
      </c>
      <c r="G215" s="17">
        <v>7.22</v>
      </c>
      <c r="H215" s="17">
        <f t="shared" si="81"/>
        <v>7.9420000000000002</v>
      </c>
      <c r="I215" s="17">
        <f t="shared" si="82"/>
        <v>2013.0349140000001</v>
      </c>
      <c r="J215" s="15">
        <v>5.5E-2</v>
      </c>
      <c r="K215" s="10">
        <f t="shared" si="83"/>
        <v>13.940685</v>
      </c>
      <c r="L215" s="88" t="s">
        <v>393</v>
      </c>
      <c r="M215" s="89">
        <v>62.3</v>
      </c>
      <c r="N215" s="17">
        <f t="shared" si="84"/>
        <v>81.114599999999996</v>
      </c>
      <c r="O215" s="17">
        <f t="shared" si="85"/>
        <v>4.461303</v>
      </c>
      <c r="P215" s="17">
        <f t="shared" si="86"/>
        <v>1130.7930875010002</v>
      </c>
      <c r="Q215" s="17">
        <f t="shared" si="87"/>
        <v>3143.8280015010005</v>
      </c>
      <c r="R215" s="49"/>
    </row>
    <row r="216" spans="2:18" x14ac:dyDescent="0.25">
      <c r="B216" s="48">
        <f>IF(F216&lt;&gt;"",1+MAX($B$22:B215),"")</f>
        <v>104</v>
      </c>
      <c r="C216" s="119"/>
      <c r="D216" s="8" t="s">
        <v>257</v>
      </c>
      <c r="E216" s="23" t="s">
        <v>78</v>
      </c>
      <c r="F216" s="39">
        <f>(160+8*1.6+39*1.453)+(48)</f>
        <v>277.46699999999998</v>
      </c>
      <c r="G216" s="17">
        <v>4.2699999999999996</v>
      </c>
      <c r="H216" s="17">
        <f t="shared" si="81"/>
        <v>4.6970000000000001</v>
      </c>
      <c r="I216" s="17">
        <f t="shared" si="82"/>
        <v>1303.2624989999999</v>
      </c>
      <c r="J216" s="15">
        <v>3.8193791157102537E-2</v>
      </c>
      <c r="K216" s="10">
        <f t="shared" si="83"/>
        <v>10.597516650987769</v>
      </c>
      <c r="L216" s="88" t="s">
        <v>381</v>
      </c>
      <c r="M216" s="89">
        <v>53.15</v>
      </c>
      <c r="N216" s="17">
        <f t="shared" si="84"/>
        <v>69.201300000000003</v>
      </c>
      <c r="O216" s="17">
        <f t="shared" si="85"/>
        <v>2.6430599999999997</v>
      </c>
      <c r="P216" s="17">
        <f t="shared" si="86"/>
        <v>733.36192901999993</v>
      </c>
      <c r="Q216" s="17">
        <f t="shared" si="87"/>
        <v>2036.6244280199999</v>
      </c>
      <c r="R216" s="49"/>
    </row>
    <row r="217" spans="2:18" x14ac:dyDescent="0.25">
      <c r="B217" s="48" t="str">
        <f>IF(F217&lt;&gt;"",1+MAX($B$22:B216),"")</f>
        <v/>
      </c>
      <c r="C217" s="119"/>
      <c r="D217" s="8"/>
      <c r="E217" s="23"/>
      <c r="F217" s="39"/>
      <c r="G217" s="17"/>
      <c r="H217" s="17">
        <f t="shared" si="81"/>
        <v>0</v>
      </c>
      <c r="I217" s="17">
        <f t="shared" si="82"/>
        <v>0</v>
      </c>
      <c r="J217" s="15"/>
      <c r="K217" s="10">
        <f t="shared" si="83"/>
        <v>0</v>
      </c>
      <c r="L217" s="10"/>
      <c r="M217" s="17"/>
      <c r="N217" s="17">
        <f t="shared" si="84"/>
        <v>0</v>
      </c>
      <c r="O217" s="17">
        <f t="shared" si="85"/>
        <v>0</v>
      </c>
      <c r="P217" s="17">
        <f t="shared" si="86"/>
        <v>0</v>
      </c>
      <c r="Q217" s="17">
        <f t="shared" si="87"/>
        <v>0</v>
      </c>
      <c r="R217" s="49"/>
    </row>
    <row r="218" spans="2:18" x14ac:dyDescent="0.25">
      <c r="B218" s="48" t="str">
        <f>IF(F218&lt;&gt;"",1+MAX($B$22:B217),"")</f>
        <v/>
      </c>
      <c r="C218" s="119"/>
      <c r="D218" s="51" t="s">
        <v>136</v>
      </c>
      <c r="E218" s="23"/>
      <c r="F218" s="39"/>
      <c r="G218" s="17"/>
      <c r="H218" s="17">
        <f t="shared" si="81"/>
        <v>0</v>
      </c>
      <c r="I218" s="17">
        <f t="shared" si="82"/>
        <v>0</v>
      </c>
      <c r="J218" s="15"/>
      <c r="K218" s="10">
        <f t="shared" si="83"/>
        <v>0</v>
      </c>
      <c r="L218" s="10"/>
      <c r="M218" s="17"/>
      <c r="N218" s="17">
        <f t="shared" si="84"/>
        <v>0</v>
      </c>
      <c r="O218" s="17">
        <f t="shared" si="85"/>
        <v>0</v>
      </c>
      <c r="P218" s="17">
        <f t="shared" si="86"/>
        <v>0</v>
      </c>
      <c r="Q218" s="17">
        <f t="shared" si="87"/>
        <v>0</v>
      </c>
      <c r="R218" s="49"/>
    </row>
    <row r="219" spans="2:18" x14ac:dyDescent="0.25">
      <c r="B219" s="48">
        <f>IF(F219&lt;&gt;"",1+MAX($B$22:B218),"")</f>
        <v>105</v>
      </c>
      <c r="C219" s="119"/>
      <c r="D219" s="8" t="s">
        <v>137</v>
      </c>
      <c r="E219" s="23" t="s">
        <v>78</v>
      </c>
      <c r="F219" s="39">
        <f>160+48</f>
        <v>208</v>
      </c>
      <c r="G219" s="17">
        <v>2.46</v>
      </c>
      <c r="H219" s="17">
        <f t="shared" si="81"/>
        <v>2.706</v>
      </c>
      <c r="I219" s="17">
        <f t="shared" si="82"/>
        <v>562.84799999999996</v>
      </c>
      <c r="J219" s="15">
        <v>9.7000000000000003E-2</v>
      </c>
      <c r="K219" s="10">
        <f t="shared" si="83"/>
        <v>20.176000000000002</v>
      </c>
      <c r="L219" s="88" t="s">
        <v>393</v>
      </c>
      <c r="M219" s="89">
        <v>62.3</v>
      </c>
      <c r="N219" s="17">
        <f t="shared" si="84"/>
        <v>81.114599999999996</v>
      </c>
      <c r="O219" s="17">
        <f t="shared" si="85"/>
        <v>7.8681162000000002</v>
      </c>
      <c r="P219" s="17">
        <f t="shared" si="86"/>
        <v>1636.5681696000001</v>
      </c>
      <c r="Q219" s="17">
        <f t="shared" si="87"/>
        <v>2199.4161696000001</v>
      </c>
      <c r="R219" s="49"/>
    </row>
    <row r="220" spans="2:18" x14ac:dyDescent="0.25">
      <c r="B220" s="48">
        <f>IF(F220&lt;&gt;"",1+MAX($B$22:B219),"")</f>
        <v>106</v>
      </c>
      <c r="C220" s="119"/>
      <c r="D220" s="8" t="s">
        <v>138</v>
      </c>
      <c r="E220" s="23" t="s">
        <v>78</v>
      </c>
      <c r="F220" s="39">
        <f>6*11+2*17+2*20</f>
        <v>140</v>
      </c>
      <c r="G220" s="17">
        <v>2.39</v>
      </c>
      <c r="H220" s="17">
        <f t="shared" si="81"/>
        <v>2.6290000000000004</v>
      </c>
      <c r="I220" s="17">
        <f t="shared" si="82"/>
        <v>368.06000000000006</v>
      </c>
      <c r="J220" s="15">
        <v>6.7000000000000004E-2</v>
      </c>
      <c r="K220" s="10">
        <f t="shared" si="83"/>
        <v>9.3800000000000008</v>
      </c>
      <c r="L220" s="88" t="s">
        <v>393</v>
      </c>
      <c r="M220" s="89">
        <v>62.3</v>
      </c>
      <c r="N220" s="17">
        <f t="shared" si="84"/>
        <v>81.114599999999996</v>
      </c>
      <c r="O220" s="17">
        <f t="shared" si="85"/>
        <v>5.4346782000000005</v>
      </c>
      <c r="P220" s="17">
        <f t="shared" si="86"/>
        <v>760.85494800000004</v>
      </c>
      <c r="Q220" s="17">
        <f t="shared" si="87"/>
        <v>1128.9149480000001</v>
      </c>
      <c r="R220" s="49"/>
    </row>
    <row r="221" spans="2:18" x14ac:dyDescent="0.25">
      <c r="B221" s="48" t="str">
        <f>IF(F221&lt;&gt;"",1+MAX($B$22:B220),"")</f>
        <v/>
      </c>
      <c r="C221" s="119"/>
      <c r="D221" s="8"/>
      <c r="E221" s="23"/>
      <c r="F221" s="39"/>
      <c r="G221" s="17"/>
      <c r="H221" s="17">
        <f t="shared" si="81"/>
        <v>0</v>
      </c>
      <c r="I221" s="17">
        <f t="shared" si="82"/>
        <v>0</v>
      </c>
      <c r="J221" s="15"/>
      <c r="K221" s="10">
        <f t="shared" si="83"/>
        <v>0</v>
      </c>
      <c r="L221" s="10"/>
      <c r="M221" s="17"/>
      <c r="N221" s="17">
        <f t="shared" si="84"/>
        <v>0</v>
      </c>
      <c r="O221" s="17">
        <f t="shared" si="85"/>
        <v>0</v>
      </c>
      <c r="P221" s="17">
        <f t="shared" si="86"/>
        <v>0</v>
      </c>
      <c r="Q221" s="17">
        <f t="shared" si="87"/>
        <v>0</v>
      </c>
      <c r="R221" s="49"/>
    </row>
    <row r="222" spans="2:18" x14ac:dyDescent="0.25">
      <c r="B222" s="48" t="str">
        <f>IF(F222&lt;&gt;"",1+MAX($B$22:B221),"")</f>
        <v/>
      </c>
      <c r="C222" s="119"/>
      <c r="D222" s="51" t="s">
        <v>97</v>
      </c>
      <c r="E222" s="23"/>
      <c r="F222" s="39"/>
      <c r="G222" s="17"/>
      <c r="H222" s="17">
        <f t="shared" si="81"/>
        <v>0</v>
      </c>
      <c r="I222" s="17">
        <f t="shared" si="82"/>
        <v>0</v>
      </c>
      <c r="J222" s="15"/>
      <c r="K222" s="10">
        <f t="shared" si="83"/>
        <v>0</v>
      </c>
      <c r="L222" s="10"/>
      <c r="M222" s="17"/>
      <c r="N222" s="17">
        <f t="shared" si="84"/>
        <v>0</v>
      </c>
      <c r="O222" s="17">
        <f t="shared" si="85"/>
        <v>0</v>
      </c>
      <c r="P222" s="17">
        <f t="shared" si="86"/>
        <v>0</v>
      </c>
      <c r="Q222" s="17">
        <f t="shared" si="87"/>
        <v>0</v>
      </c>
      <c r="R222" s="49"/>
    </row>
    <row r="223" spans="2:18" x14ac:dyDescent="0.25">
      <c r="B223" s="48">
        <f>IF(F223&lt;&gt;"",1+MAX($B$22:B222),"")</f>
        <v>107</v>
      </c>
      <c r="C223" s="119"/>
      <c r="D223" s="8" t="s">
        <v>143</v>
      </c>
      <c r="E223" s="23" t="s">
        <v>78</v>
      </c>
      <c r="F223" s="39">
        <v>277</v>
      </c>
      <c r="G223" s="17">
        <v>1.02</v>
      </c>
      <c r="H223" s="17">
        <f t="shared" si="81"/>
        <v>1.1220000000000001</v>
      </c>
      <c r="I223" s="17">
        <f t="shared" si="82"/>
        <v>310.79400000000004</v>
      </c>
      <c r="J223" s="15">
        <v>9.0999999999999998E-2</v>
      </c>
      <c r="K223" s="10">
        <f t="shared" si="83"/>
        <v>25.207000000000001</v>
      </c>
      <c r="L223" s="88" t="s">
        <v>394</v>
      </c>
      <c r="M223" s="89">
        <v>46.2</v>
      </c>
      <c r="N223" s="17">
        <f t="shared" si="84"/>
        <v>60.152400000000007</v>
      </c>
      <c r="O223" s="17">
        <f t="shared" si="85"/>
        <v>5.4738684000000006</v>
      </c>
      <c r="P223" s="17">
        <f t="shared" si="86"/>
        <v>1516.2615468000001</v>
      </c>
      <c r="Q223" s="17">
        <f t="shared" si="87"/>
        <v>1827.0555468000002</v>
      </c>
      <c r="R223" s="49"/>
    </row>
    <row r="224" spans="2:18" x14ac:dyDescent="0.25">
      <c r="B224" s="48">
        <f>IF(F224&lt;&gt;"",1+MAX($B$22:B223),"")</f>
        <v>108</v>
      </c>
      <c r="C224" s="119"/>
      <c r="D224" s="8" t="s">
        <v>98</v>
      </c>
      <c r="E224" s="23" t="s">
        <v>78</v>
      </c>
      <c r="F224" s="39">
        <f>38+51.5*1.5+8*1.6+18*1.453</f>
        <v>154.20400000000001</v>
      </c>
      <c r="G224" s="17">
        <v>1.45</v>
      </c>
      <c r="H224" s="17">
        <f t="shared" si="81"/>
        <v>1.595</v>
      </c>
      <c r="I224" s="17">
        <f t="shared" si="82"/>
        <v>245.95538000000002</v>
      </c>
      <c r="J224" s="15">
        <v>9.0999999999999998E-2</v>
      </c>
      <c r="K224" s="10">
        <f t="shared" si="83"/>
        <v>14.032564000000001</v>
      </c>
      <c r="L224" s="88" t="s">
        <v>394</v>
      </c>
      <c r="M224" s="89">
        <v>46.2</v>
      </c>
      <c r="N224" s="17">
        <f t="shared" si="84"/>
        <v>60.152400000000007</v>
      </c>
      <c r="O224" s="17">
        <f t="shared" si="85"/>
        <v>5.4738684000000006</v>
      </c>
      <c r="P224" s="17">
        <f t="shared" si="86"/>
        <v>844.09240275360014</v>
      </c>
      <c r="Q224" s="17">
        <f t="shared" si="87"/>
        <v>1090.0477827536001</v>
      </c>
      <c r="R224" s="49"/>
    </row>
    <row r="225" spans="2:19" x14ac:dyDescent="0.25">
      <c r="B225" s="48" t="str">
        <f>IF(F225&lt;&gt;"",1+MAX($B$22:B224),"")</f>
        <v/>
      </c>
      <c r="C225" s="52"/>
      <c r="D225" s="8"/>
      <c r="E225" s="23"/>
      <c r="F225" s="39"/>
      <c r="G225" s="17"/>
      <c r="H225" s="17">
        <f t="shared" si="81"/>
        <v>0</v>
      </c>
      <c r="I225" s="17">
        <f t="shared" si="82"/>
        <v>0</v>
      </c>
      <c r="J225" s="15"/>
      <c r="K225" s="10">
        <f t="shared" si="83"/>
        <v>0</v>
      </c>
      <c r="L225" s="10"/>
      <c r="M225" s="17"/>
      <c r="N225" s="17">
        <f t="shared" si="84"/>
        <v>0</v>
      </c>
      <c r="O225" s="17">
        <f t="shared" si="85"/>
        <v>0</v>
      </c>
      <c r="P225" s="17">
        <f t="shared" si="86"/>
        <v>0</v>
      </c>
      <c r="Q225" s="17">
        <f t="shared" si="87"/>
        <v>0</v>
      </c>
      <c r="R225" s="49"/>
      <c r="S225" s="12"/>
    </row>
    <row r="226" spans="2:19" x14ac:dyDescent="0.25">
      <c r="B226" s="67" t="str">
        <f>IF(F226&lt;&gt;"",1+MAX($B$22:B225),"")</f>
        <v/>
      </c>
      <c r="C226" s="68"/>
      <c r="D226" s="69" t="s">
        <v>88</v>
      </c>
      <c r="E226" s="23"/>
      <c r="F226" s="39"/>
      <c r="G226" s="17"/>
      <c r="H226" s="17">
        <f t="shared" si="81"/>
        <v>0</v>
      </c>
      <c r="I226" s="17">
        <f t="shared" si="82"/>
        <v>0</v>
      </c>
      <c r="J226" s="15"/>
      <c r="K226" s="10">
        <f t="shared" si="83"/>
        <v>0</v>
      </c>
      <c r="L226" s="10"/>
      <c r="M226" s="17"/>
      <c r="N226" s="17">
        <f t="shared" si="84"/>
        <v>0</v>
      </c>
      <c r="O226" s="17">
        <f t="shared" si="85"/>
        <v>0</v>
      </c>
      <c r="P226" s="17">
        <f t="shared" si="86"/>
        <v>0</v>
      </c>
      <c r="Q226" s="17">
        <f t="shared" si="87"/>
        <v>0</v>
      </c>
      <c r="R226" s="49"/>
    </row>
    <row r="227" spans="2:19" x14ac:dyDescent="0.25">
      <c r="B227" s="48">
        <f>IF(F227&lt;&gt;"",1+MAX($B$22:B226),"")</f>
        <v>109</v>
      </c>
      <c r="C227" s="119" t="s">
        <v>278</v>
      </c>
      <c r="D227" s="8" t="s">
        <v>89</v>
      </c>
      <c r="E227" s="23" t="s">
        <v>78</v>
      </c>
      <c r="F227" s="39">
        <v>535</v>
      </c>
      <c r="G227" s="17">
        <v>1.3</v>
      </c>
      <c r="H227" s="17">
        <f t="shared" si="81"/>
        <v>1.4300000000000002</v>
      </c>
      <c r="I227" s="17">
        <f t="shared" si="82"/>
        <v>765.05000000000007</v>
      </c>
      <c r="J227" s="15">
        <v>0.04</v>
      </c>
      <c r="K227" s="10">
        <f t="shared" si="83"/>
        <v>21.400000000000002</v>
      </c>
      <c r="L227" s="88" t="s">
        <v>390</v>
      </c>
      <c r="M227" s="89">
        <v>52.05</v>
      </c>
      <c r="N227" s="17">
        <f t="shared" si="84"/>
        <v>67.769099999999995</v>
      </c>
      <c r="O227" s="17">
        <f t="shared" si="85"/>
        <v>2.7107639999999997</v>
      </c>
      <c r="P227" s="17">
        <f t="shared" si="86"/>
        <v>1450.2587399999998</v>
      </c>
      <c r="Q227" s="17">
        <f t="shared" si="87"/>
        <v>2215.3087399999999</v>
      </c>
      <c r="R227" s="49"/>
    </row>
    <row r="228" spans="2:19" x14ac:dyDescent="0.25">
      <c r="B228" s="48">
        <f>IF(F228&lt;&gt;"",1+MAX($B$22:B227),"")</f>
        <v>110</v>
      </c>
      <c r="C228" s="119"/>
      <c r="D228" s="8" t="s">
        <v>90</v>
      </c>
      <c r="E228" s="23" t="s">
        <v>78</v>
      </c>
      <c r="F228" s="39">
        <f>95*2+65*2+46*2</f>
        <v>412</v>
      </c>
      <c r="G228" s="17">
        <v>0.43</v>
      </c>
      <c r="H228" s="17">
        <f>G228*$T$2</f>
        <v>0.47300000000000003</v>
      </c>
      <c r="I228" s="17">
        <f>F228*H228</f>
        <v>194.876</v>
      </c>
      <c r="J228" s="15">
        <v>2.9000000000000001E-2</v>
      </c>
      <c r="K228" s="10">
        <f>F228*J228</f>
        <v>11.948</v>
      </c>
      <c r="L228" s="88" t="s">
        <v>390</v>
      </c>
      <c r="M228" s="89">
        <v>52.05</v>
      </c>
      <c r="N228" s="17">
        <f t="shared" si="84"/>
        <v>67.769099999999995</v>
      </c>
      <c r="O228" s="17">
        <f t="shared" si="85"/>
        <v>1.9653038999999999</v>
      </c>
      <c r="P228" s="17">
        <f t="shared" si="86"/>
        <v>809.70520679999993</v>
      </c>
      <c r="Q228" s="17">
        <f t="shared" si="87"/>
        <v>1004.5812067999999</v>
      </c>
      <c r="R228" s="49"/>
    </row>
    <row r="229" spans="2:19" x14ac:dyDescent="0.25">
      <c r="B229" s="48">
        <f>IF(F229&lt;&gt;"",1+MAX($B$22:B228),"")</f>
        <v>111</v>
      </c>
      <c r="C229" s="119"/>
      <c r="D229" s="8" t="s">
        <v>91</v>
      </c>
      <c r="E229" s="23" t="s">
        <v>78</v>
      </c>
      <c r="F229" s="39">
        <f>281*2</f>
        <v>562</v>
      </c>
      <c r="G229" s="17">
        <v>0.43</v>
      </c>
      <c r="H229" s="17">
        <f>G229*$T$2</f>
        <v>0.47300000000000003</v>
      </c>
      <c r="I229" s="17">
        <f>F229*H229</f>
        <v>265.82600000000002</v>
      </c>
      <c r="J229" s="15">
        <v>2.9000000000000001E-2</v>
      </c>
      <c r="K229" s="10">
        <f>F229*J229</f>
        <v>16.298000000000002</v>
      </c>
      <c r="L229" s="88" t="s">
        <v>390</v>
      </c>
      <c r="M229" s="89">
        <v>52.05</v>
      </c>
      <c r="N229" s="17">
        <f t="shared" si="84"/>
        <v>67.769099999999995</v>
      </c>
      <c r="O229" s="17">
        <f t="shared" ref="O229" si="88">J229*N229</f>
        <v>1.9653038999999999</v>
      </c>
      <c r="P229" s="17">
        <f t="shared" ref="P229" si="89">F229*O229</f>
        <v>1104.5007917999999</v>
      </c>
      <c r="Q229" s="17">
        <f t="shared" ref="Q229" si="90">I229+P229</f>
        <v>1370.3267917999999</v>
      </c>
      <c r="R229" s="49"/>
    </row>
    <row r="230" spans="2:19" x14ac:dyDescent="0.25">
      <c r="B230" s="48" t="str">
        <f>IF(F230&lt;&gt;"",1+MAX($B$22:B229),"")</f>
        <v/>
      </c>
      <c r="C230" s="52"/>
      <c r="D230" s="8"/>
      <c r="E230" s="23"/>
      <c r="F230" s="39"/>
      <c r="G230" s="17"/>
      <c r="H230" s="17">
        <f t="shared" si="81"/>
        <v>0</v>
      </c>
      <c r="I230" s="17">
        <f t="shared" si="82"/>
        <v>0</v>
      </c>
      <c r="J230" s="15"/>
      <c r="K230" s="10">
        <f t="shared" si="83"/>
        <v>0</v>
      </c>
      <c r="L230" s="10"/>
      <c r="M230" s="17"/>
      <c r="N230" s="17">
        <f t="shared" si="84"/>
        <v>0</v>
      </c>
      <c r="O230" s="17">
        <f t="shared" si="85"/>
        <v>0</v>
      </c>
      <c r="P230" s="17">
        <f t="shared" si="86"/>
        <v>0</v>
      </c>
      <c r="Q230" s="17">
        <f t="shared" si="87"/>
        <v>0</v>
      </c>
      <c r="R230" s="49"/>
    </row>
    <row r="231" spans="2:19" x14ac:dyDescent="0.25">
      <c r="B231" s="67" t="str">
        <f>IF(F231&lt;&gt;"",1+MAX($B$22:B230),"")</f>
        <v/>
      </c>
      <c r="C231" s="68"/>
      <c r="D231" s="69" t="s">
        <v>93</v>
      </c>
      <c r="E231" s="23"/>
      <c r="F231" s="39"/>
      <c r="G231" s="17"/>
      <c r="H231" s="17">
        <f t="shared" si="81"/>
        <v>0</v>
      </c>
      <c r="I231" s="17">
        <f t="shared" si="82"/>
        <v>0</v>
      </c>
      <c r="J231" s="15"/>
      <c r="K231" s="10">
        <f t="shared" si="83"/>
        <v>0</v>
      </c>
      <c r="L231" s="10"/>
      <c r="M231" s="17"/>
      <c r="N231" s="17">
        <f t="shared" si="84"/>
        <v>0</v>
      </c>
      <c r="O231" s="17">
        <f t="shared" si="85"/>
        <v>0</v>
      </c>
      <c r="P231" s="17">
        <f t="shared" si="86"/>
        <v>0</v>
      </c>
      <c r="Q231" s="17">
        <f t="shared" si="87"/>
        <v>0</v>
      </c>
      <c r="R231" s="49"/>
    </row>
    <row r="232" spans="2:19" x14ac:dyDescent="0.25">
      <c r="B232" s="48">
        <f>IF(F232&lt;&gt;"",1+MAX($B$22:B231),"")</f>
        <v>112</v>
      </c>
      <c r="C232" s="119" t="s">
        <v>278</v>
      </c>
      <c r="D232" s="8" t="s">
        <v>94</v>
      </c>
      <c r="E232" s="23" t="s">
        <v>78</v>
      </c>
      <c r="F232" s="39">
        <f>65</f>
        <v>65</v>
      </c>
      <c r="G232" s="17">
        <v>4.0999999999999996</v>
      </c>
      <c r="H232" s="17">
        <f t="shared" si="81"/>
        <v>4.51</v>
      </c>
      <c r="I232" s="17">
        <f t="shared" si="82"/>
        <v>293.14999999999998</v>
      </c>
      <c r="J232" s="15">
        <v>3.1984948259642522E-2</v>
      </c>
      <c r="K232" s="10">
        <f t="shared" si="83"/>
        <v>2.0790216368767638</v>
      </c>
      <c r="L232" s="88" t="s">
        <v>381</v>
      </c>
      <c r="M232" s="89">
        <v>53.15</v>
      </c>
      <c r="N232" s="17">
        <f t="shared" si="84"/>
        <v>69.201300000000003</v>
      </c>
      <c r="O232" s="17">
        <f t="shared" si="85"/>
        <v>2.2134</v>
      </c>
      <c r="P232" s="17">
        <f t="shared" si="86"/>
        <v>143.87100000000001</v>
      </c>
      <c r="Q232" s="17">
        <f t="shared" si="87"/>
        <v>437.02099999999996</v>
      </c>
      <c r="R232" s="49"/>
    </row>
    <row r="233" spans="2:19" x14ac:dyDescent="0.25">
      <c r="B233" s="48">
        <f>IF(F233&lt;&gt;"",1+MAX($B$22:B232),"")</f>
        <v>113</v>
      </c>
      <c r="C233" s="119"/>
      <c r="D233" s="8" t="s">
        <v>95</v>
      </c>
      <c r="E233" s="23" t="s">
        <v>78</v>
      </c>
      <c r="F233" s="39">
        <v>281</v>
      </c>
      <c r="G233" s="17">
        <v>4.0999999999999996</v>
      </c>
      <c r="H233" s="17">
        <f t="shared" si="81"/>
        <v>4.51</v>
      </c>
      <c r="I233" s="17">
        <f t="shared" si="82"/>
        <v>1267.31</v>
      </c>
      <c r="J233" s="15">
        <v>3.1984948259642522E-2</v>
      </c>
      <c r="K233" s="10">
        <f t="shared" si="83"/>
        <v>8.987770460959549</v>
      </c>
      <c r="L233" s="88" t="s">
        <v>381</v>
      </c>
      <c r="M233" s="89">
        <v>53.15</v>
      </c>
      <c r="N233" s="17">
        <f t="shared" si="84"/>
        <v>69.201300000000003</v>
      </c>
      <c r="O233" s="17">
        <f t="shared" si="85"/>
        <v>2.2134</v>
      </c>
      <c r="P233" s="17">
        <f t="shared" si="86"/>
        <v>621.96540000000005</v>
      </c>
      <c r="Q233" s="17">
        <f t="shared" si="87"/>
        <v>1889.2754</v>
      </c>
      <c r="R233" s="49"/>
    </row>
    <row r="234" spans="2:19" x14ac:dyDescent="0.25">
      <c r="B234" s="48" t="str">
        <f>IF(F234&lt;&gt;"",1+MAX($B$22:B233),"")</f>
        <v/>
      </c>
      <c r="C234" s="52"/>
      <c r="D234" s="8"/>
      <c r="E234" s="23"/>
      <c r="F234" s="39"/>
      <c r="G234" s="17"/>
      <c r="H234" s="17">
        <f t="shared" si="81"/>
        <v>0</v>
      </c>
      <c r="I234" s="17">
        <f t="shared" si="82"/>
        <v>0</v>
      </c>
      <c r="J234" s="15"/>
      <c r="K234" s="10">
        <f t="shared" si="83"/>
        <v>0</v>
      </c>
      <c r="L234" s="10"/>
      <c r="M234" s="17"/>
      <c r="N234" s="17">
        <f t="shared" si="84"/>
        <v>0</v>
      </c>
      <c r="O234" s="17">
        <f t="shared" si="85"/>
        <v>0</v>
      </c>
      <c r="P234" s="17">
        <f t="shared" si="86"/>
        <v>0</v>
      </c>
      <c r="Q234" s="17">
        <f t="shared" si="87"/>
        <v>0</v>
      </c>
      <c r="R234" s="49"/>
    </row>
    <row r="235" spans="2:19" x14ac:dyDescent="0.25">
      <c r="B235" s="67" t="str">
        <f>IF(F235&lt;&gt;"",1+MAX($B$22:B234),"")</f>
        <v/>
      </c>
      <c r="C235" s="68"/>
      <c r="D235" s="69" t="s">
        <v>174</v>
      </c>
      <c r="E235" s="23"/>
      <c r="F235" s="39"/>
      <c r="G235" s="17"/>
      <c r="H235" s="17">
        <f t="shared" si="81"/>
        <v>0</v>
      </c>
      <c r="I235" s="17">
        <f t="shared" si="82"/>
        <v>0</v>
      </c>
      <c r="J235" s="15"/>
      <c r="K235" s="10">
        <f t="shared" si="83"/>
        <v>0</v>
      </c>
      <c r="L235" s="10"/>
      <c r="M235" s="17"/>
      <c r="N235" s="17">
        <f t="shared" si="84"/>
        <v>0</v>
      </c>
      <c r="O235" s="17">
        <f t="shared" si="85"/>
        <v>0</v>
      </c>
      <c r="P235" s="17">
        <f t="shared" si="86"/>
        <v>0</v>
      </c>
      <c r="Q235" s="17">
        <f t="shared" si="87"/>
        <v>0</v>
      </c>
      <c r="R235" s="49"/>
    </row>
    <row r="236" spans="2:19" x14ac:dyDescent="0.25">
      <c r="B236" s="48">
        <f>IF(F236&lt;&gt;"",1+MAX($B$22:B235),"")</f>
        <v>114</v>
      </c>
      <c r="C236" s="52" t="s">
        <v>270</v>
      </c>
      <c r="D236" s="8" t="s">
        <v>172</v>
      </c>
      <c r="E236" s="23" t="s">
        <v>73</v>
      </c>
      <c r="F236" s="39">
        <f>48*3.83+16*3+9*4.83</f>
        <v>275.31</v>
      </c>
      <c r="G236" s="17">
        <v>1.1200000000000001</v>
      </c>
      <c r="H236" s="17">
        <f t="shared" si="81"/>
        <v>1.2320000000000002</v>
      </c>
      <c r="I236" s="17">
        <f t="shared" si="82"/>
        <v>339.18192000000005</v>
      </c>
      <c r="J236" s="15">
        <v>2.4E-2</v>
      </c>
      <c r="K236" s="10">
        <f t="shared" si="83"/>
        <v>6.6074400000000004</v>
      </c>
      <c r="L236" s="88" t="s">
        <v>396</v>
      </c>
      <c r="M236" s="89">
        <v>46.2</v>
      </c>
      <c r="N236" s="17">
        <f t="shared" si="84"/>
        <v>60.152400000000007</v>
      </c>
      <c r="O236" s="17">
        <f t="shared" si="85"/>
        <v>1.4436576000000001</v>
      </c>
      <c r="P236" s="17">
        <f t="shared" si="86"/>
        <v>397.45337385600004</v>
      </c>
      <c r="Q236" s="17">
        <f t="shared" si="87"/>
        <v>736.63529385600009</v>
      </c>
      <c r="R236" s="49"/>
    </row>
    <row r="237" spans="2:19" x14ac:dyDescent="0.25">
      <c r="B237" s="48" t="str">
        <f>IF(F237&lt;&gt;"",1+MAX($B$22:B236),"")</f>
        <v/>
      </c>
      <c r="C237" s="52"/>
      <c r="D237" s="8"/>
      <c r="E237" s="23"/>
      <c r="F237" s="39"/>
      <c r="G237" s="17"/>
      <c r="H237" s="17">
        <f t="shared" si="81"/>
        <v>0</v>
      </c>
      <c r="I237" s="17">
        <f t="shared" si="82"/>
        <v>0</v>
      </c>
      <c r="J237" s="15"/>
      <c r="K237" s="10">
        <f t="shared" si="83"/>
        <v>0</v>
      </c>
      <c r="L237" s="10"/>
      <c r="M237" s="17"/>
      <c r="N237" s="17">
        <f t="shared" si="84"/>
        <v>0</v>
      </c>
      <c r="O237" s="17">
        <f t="shared" si="85"/>
        <v>0</v>
      </c>
      <c r="P237" s="17">
        <f t="shared" si="86"/>
        <v>0</v>
      </c>
      <c r="Q237" s="17">
        <f t="shared" si="87"/>
        <v>0</v>
      </c>
      <c r="R237" s="49"/>
    </row>
    <row r="238" spans="2:19" x14ac:dyDescent="0.25">
      <c r="B238" s="67" t="str">
        <f>IF(F238&lt;&gt;"",1+MAX($B$22:B237),"")</f>
        <v/>
      </c>
      <c r="C238" s="68"/>
      <c r="D238" s="69" t="s">
        <v>175</v>
      </c>
      <c r="E238" s="23"/>
      <c r="F238" s="39"/>
      <c r="G238" s="17"/>
      <c r="H238" s="17">
        <f t="shared" si="81"/>
        <v>0</v>
      </c>
      <c r="I238" s="17">
        <f t="shared" si="82"/>
        <v>0</v>
      </c>
      <c r="J238" s="15"/>
      <c r="K238" s="10">
        <f t="shared" si="83"/>
        <v>0</v>
      </c>
      <c r="L238" s="10"/>
      <c r="M238" s="17"/>
      <c r="N238" s="17">
        <f t="shared" si="84"/>
        <v>0</v>
      </c>
      <c r="O238" s="17">
        <f t="shared" si="85"/>
        <v>0</v>
      </c>
      <c r="P238" s="17">
        <f t="shared" si="86"/>
        <v>0</v>
      </c>
      <c r="Q238" s="17">
        <f t="shared" si="87"/>
        <v>0</v>
      </c>
      <c r="R238" s="49"/>
    </row>
    <row r="239" spans="2:19" x14ac:dyDescent="0.25">
      <c r="B239" s="48">
        <f>IF(F239&lt;&gt;"",1+MAX($B$22:B238),"")</f>
        <v>115</v>
      </c>
      <c r="C239" s="52" t="s">
        <v>270</v>
      </c>
      <c r="D239" s="8" t="s">
        <v>176</v>
      </c>
      <c r="E239" s="23" t="s">
        <v>73</v>
      </c>
      <c r="F239" s="39">
        <f>48*1.33+9*2.33</f>
        <v>84.81</v>
      </c>
      <c r="G239" s="17">
        <v>6.25</v>
      </c>
      <c r="H239" s="17">
        <f t="shared" si="81"/>
        <v>6.8750000000000009</v>
      </c>
      <c r="I239" s="17">
        <f t="shared" si="82"/>
        <v>583.06875000000014</v>
      </c>
      <c r="J239" s="15">
        <v>0.05</v>
      </c>
      <c r="K239" s="10">
        <f t="shared" si="83"/>
        <v>4.2404999999999999</v>
      </c>
      <c r="L239" s="88" t="s">
        <v>381</v>
      </c>
      <c r="M239" s="89">
        <v>53.15</v>
      </c>
      <c r="N239" s="17">
        <f t="shared" si="84"/>
        <v>69.201300000000003</v>
      </c>
      <c r="O239" s="17">
        <f t="shared" si="85"/>
        <v>3.4600650000000002</v>
      </c>
      <c r="P239" s="17">
        <f t="shared" si="86"/>
        <v>293.44811265000004</v>
      </c>
      <c r="Q239" s="17">
        <f t="shared" si="87"/>
        <v>876.51686265000012</v>
      </c>
      <c r="R239" s="49"/>
    </row>
    <row r="240" spans="2:19" x14ac:dyDescent="0.25">
      <c r="B240" s="48" t="str">
        <f>IF(F240&lt;&gt;"",1+MAX($B$22:B239),"")</f>
        <v/>
      </c>
      <c r="C240" s="52"/>
      <c r="D240" s="8"/>
      <c r="E240" s="23"/>
      <c r="F240" s="39"/>
      <c r="G240" s="17"/>
      <c r="H240" s="17">
        <f t="shared" si="81"/>
        <v>0</v>
      </c>
      <c r="I240" s="17">
        <f t="shared" si="82"/>
        <v>0</v>
      </c>
      <c r="J240" s="15"/>
      <c r="K240" s="10">
        <f t="shared" si="83"/>
        <v>0</v>
      </c>
      <c r="L240" s="10"/>
      <c r="M240" s="17"/>
      <c r="N240" s="17">
        <f t="shared" si="84"/>
        <v>0</v>
      </c>
      <c r="O240" s="17">
        <f t="shared" si="85"/>
        <v>0</v>
      </c>
      <c r="P240" s="17">
        <f t="shared" si="86"/>
        <v>0</v>
      </c>
      <c r="Q240" s="17">
        <f t="shared" si="87"/>
        <v>0</v>
      </c>
      <c r="R240" s="49"/>
    </row>
    <row r="241" spans="2:19" x14ac:dyDescent="0.25">
      <c r="B241" s="67" t="str">
        <f>IF(F241&lt;&gt;"",1+MAX($B$22:B240),"")</f>
        <v/>
      </c>
      <c r="C241" s="68"/>
      <c r="D241" s="69" t="s">
        <v>92</v>
      </c>
      <c r="E241" s="23"/>
      <c r="F241" s="39"/>
      <c r="G241" s="17"/>
      <c r="H241" s="17">
        <f t="shared" si="81"/>
        <v>0</v>
      </c>
      <c r="I241" s="17">
        <f t="shared" si="82"/>
        <v>0</v>
      </c>
      <c r="J241" s="15"/>
      <c r="K241" s="10">
        <f t="shared" si="83"/>
        <v>0</v>
      </c>
      <c r="L241" s="10"/>
      <c r="M241" s="17"/>
      <c r="N241" s="17">
        <f t="shared" si="84"/>
        <v>0</v>
      </c>
      <c r="O241" s="17">
        <f t="shared" si="85"/>
        <v>0</v>
      </c>
      <c r="P241" s="17">
        <f t="shared" si="86"/>
        <v>0</v>
      </c>
      <c r="Q241" s="17">
        <f t="shared" si="87"/>
        <v>0</v>
      </c>
      <c r="R241" s="49"/>
    </row>
    <row r="242" spans="2:19" x14ac:dyDescent="0.25">
      <c r="B242" s="48">
        <f>IF(F242&lt;&gt;"",1+MAX($B$22:B241),"")</f>
        <v>116</v>
      </c>
      <c r="C242" s="119" t="s">
        <v>267</v>
      </c>
      <c r="D242" s="8" t="s">
        <v>173</v>
      </c>
      <c r="E242" s="23" t="s">
        <v>73</v>
      </c>
      <c r="F242" s="39">
        <f>48*3.83+16*3+9*4.83</f>
        <v>275.31</v>
      </c>
      <c r="G242" s="17">
        <v>1.36</v>
      </c>
      <c r="H242" s="17">
        <f t="shared" si="81"/>
        <v>1.4960000000000002</v>
      </c>
      <c r="I242" s="17">
        <f t="shared" si="82"/>
        <v>411.86376000000007</v>
      </c>
      <c r="J242" s="15">
        <v>1.2E-2</v>
      </c>
      <c r="K242" s="10">
        <f t="shared" si="83"/>
        <v>3.3037200000000002</v>
      </c>
      <c r="L242" s="88" t="s">
        <v>394</v>
      </c>
      <c r="M242" s="89">
        <v>46.2</v>
      </c>
      <c r="N242" s="17">
        <f t="shared" si="84"/>
        <v>60.152400000000007</v>
      </c>
      <c r="O242" s="17">
        <f t="shared" si="85"/>
        <v>0.72182880000000005</v>
      </c>
      <c r="P242" s="17">
        <f t="shared" si="86"/>
        <v>198.72668692800002</v>
      </c>
      <c r="Q242" s="17">
        <f t="shared" si="87"/>
        <v>610.59044692800012</v>
      </c>
      <c r="R242" s="49"/>
    </row>
    <row r="243" spans="2:19" x14ac:dyDescent="0.25">
      <c r="B243" s="48">
        <f>IF(F243&lt;&gt;"",1+MAX($B$22:B242),"")</f>
        <v>117</v>
      </c>
      <c r="C243" s="119"/>
      <c r="D243" s="8" t="s">
        <v>218</v>
      </c>
      <c r="E243" s="23" t="s">
        <v>73</v>
      </c>
      <c r="F243" s="39">
        <f>591</f>
        <v>591</v>
      </c>
      <c r="G243" s="17">
        <v>2.66</v>
      </c>
      <c r="H243" s="17">
        <f t="shared" si="81"/>
        <v>2.9260000000000006</v>
      </c>
      <c r="I243" s="17">
        <f t="shared" si="82"/>
        <v>1729.2660000000003</v>
      </c>
      <c r="J243" s="15">
        <v>1.0999999999999999E-2</v>
      </c>
      <c r="K243" s="10">
        <f t="shared" si="83"/>
        <v>6.5009999999999994</v>
      </c>
      <c r="L243" s="88" t="s">
        <v>381</v>
      </c>
      <c r="M243" s="89">
        <v>53.15</v>
      </c>
      <c r="N243" s="17">
        <f t="shared" si="84"/>
        <v>69.201300000000003</v>
      </c>
      <c r="O243" s="17">
        <f t="shared" si="85"/>
        <v>0.76121430000000001</v>
      </c>
      <c r="P243" s="17">
        <f t="shared" si="86"/>
        <v>449.87765130000003</v>
      </c>
      <c r="Q243" s="17">
        <f t="shared" si="87"/>
        <v>2179.1436513000003</v>
      </c>
      <c r="R243" s="49"/>
    </row>
    <row r="244" spans="2:19" x14ac:dyDescent="0.25">
      <c r="B244" s="48">
        <f>IF(F244&lt;&gt;"",1+MAX($B$22:B243),"")</f>
        <v>118</v>
      </c>
      <c r="C244" s="119"/>
      <c r="D244" s="8" t="s">
        <v>225</v>
      </c>
      <c r="E244" s="23" t="s">
        <v>73</v>
      </c>
      <c r="F244" s="39">
        <f>2227-486*1.054</f>
        <v>1714.7559999999999</v>
      </c>
      <c r="G244" s="17">
        <v>2.23</v>
      </c>
      <c r="H244" s="17">
        <f t="shared" si="81"/>
        <v>2.4530000000000003</v>
      </c>
      <c r="I244" s="17">
        <f t="shared" si="82"/>
        <v>4206.2964680000005</v>
      </c>
      <c r="J244" s="15">
        <v>1.0999999999999999E-2</v>
      </c>
      <c r="K244" s="10">
        <f t="shared" si="83"/>
        <v>18.862315999999996</v>
      </c>
      <c r="L244" s="88" t="s">
        <v>381</v>
      </c>
      <c r="M244" s="89">
        <v>53.15</v>
      </c>
      <c r="N244" s="17">
        <f t="shared" si="84"/>
        <v>69.201300000000003</v>
      </c>
      <c r="O244" s="17">
        <f t="shared" si="85"/>
        <v>0.76121430000000001</v>
      </c>
      <c r="P244" s="17">
        <f t="shared" si="86"/>
        <v>1305.2967882107998</v>
      </c>
      <c r="Q244" s="17">
        <f t="shared" si="87"/>
        <v>5511.5932562108001</v>
      </c>
      <c r="R244" s="49"/>
    </row>
    <row r="245" spans="2:19" x14ac:dyDescent="0.25">
      <c r="B245" s="48">
        <f>IF(F245&lt;&gt;"",1+MAX($B$22:B244),"")</f>
        <v>119</v>
      </c>
      <c r="C245" s="119" t="s">
        <v>278</v>
      </c>
      <c r="D245" s="8" t="s">
        <v>295</v>
      </c>
      <c r="E245" s="23" t="s">
        <v>73</v>
      </c>
      <c r="F245" s="39">
        <v>1416</v>
      </c>
      <c r="G245" s="17">
        <v>1.1499999999999999</v>
      </c>
      <c r="H245" s="17">
        <f t="shared" si="81"/>
        <v>1.2649999999999999</v>
      </c>
      <c r="I245" s="17">
        <f t="shared" si="82"/>
        <v>1791.2399999999998</v>
      </c>
      <c r="J245" s="15">
        <v>8.9999999999999993E-3</v>
      </c>
      <c r="K245" s="10">
        <f t="shared" si="83"/>
        <v>12.744</v>
      </c>
      <c r="L245" s="88" t="s">
        <v>381</v>
      </c>
      <c r="M245" s="89">
        <v>53.15</v>
      </c>
      <c r="N245" s="17">
        <f t="shared" si="84"/>
        <v>69.201300000000003</v>
      </c>
      <c r="O245" s="17">
        <f t="shared" si="85"/>
        <v>0.62281169999999997</v>
      </c>
      <c r="P245" s="17">
        <f t="shared" si="86"/>
        <v>881.90136719999998</v>
      </c>
      <c r="Q245" s="17">
        <f t="shared" si="87"/>
        <v>2673.1413671999999</v>
      </c>
      <c r="R245" s="49"/>
    </row>
    <row r="246" spans="2:19" x14ac:dyDescent="0.25">
      <c r="B246" s="48">
        <f>IF(F246&lt;&gt;"",1+MAX($B$22:B245),"")</f>
        <v>120</v>
      </c>
      <c r="C246" s="119"/>
      <c r="D246" s="8" t="s">
        <v>296</v>
      </c>
      <c r="E246" s="23" t="s">
        <v>73</v>
      </c>
      <c r="F246" s="39">
        <v>1416</v>
      </c>
      <c r="G246" s="17">
        <v>0.7</v>
      </c>
      <c r="H246" s="17">
        <f t="shared" si="81"/>
        <v>0.77</v>
      </c>
      <c r="I246" s="17">
        <f t="shared" si="82"/>
        <v>1090.32</v>
      </c>
      <c r="J246" s="15">
        <v>1.2E-2</v>
      </c>
      <c r="K246" s="10">
        <f t="shared" si="83"/>
        <v>16.992000000000001</v>
      </c>
      <c r="L246" s="88" t="s">
        <v>394</v>
      </c>
      <c r="M246" s="89">
        <v>46.2</v>
      </c>
      <c r="N246" s="17">
        <f t="shared" si="84"/>
        <v>60.152400000000007</v>
      </c>
      <c r="O246" s="17">
        <f t="shared" si="85"/>
        <v>0.72182880000000005</v>
      </c>
      <c r="P246" s="17">
        <f t="shared" si="86"/>
        <v>1022.1095808000001</v>
      </c>
      <c r="Q246" s="17">
        <f t="shared" si="87"/>
        <v>2112.4295808000002</v>
      </c>
      <c r="R246" s="49"/>
    </row>
    <row r="247" spans="2:19" x14ac:dyDescent="0.25">
      <c r="B247" s="48" t="str">
        <f>IF(F247&lt;&gt;"",1+MAX($B$22:B246),"")</f>
        <v/>
      </c>
      <c r="C247" s="52"/>
      <c r="D247" s="8"/>
      <c r="E247" s="23"/>
      <c r="F247" s="39"/>
      <c r="G247" s="17"/>
      <c r="H247" s="17">
        <f t="shared" si="81"/>
        <v>0</v>
      </c>
      <c r="I247" s="17">
        <f t="shared" si="82"/>
        <v>0</v>
      </c>
      <c r="J247" s="15"/>
      <c r="K247" s="10">
        <f t="shared" si="83"/>
        <v>0</v>
      </c>
      <c r="L247" s="10"/>
      <c r="M247" s="17"/>
      <c r="N247" s="17">
        <f t="shared" si="84"/>
        <v>0</v>
      </c>
      <c r="O247" s="17">
        <f t="shared" si="85"/>
        <v>0</v>
      </c>
      <c r="P247" s="17">
        <f t="shared" si="86"/>
        <v>0</v>
      </c>
      <c r="Q247" s="17">
        <f t="shared" si="87"/>
        <v>0</v>
      </c>
      <c r="R247" s="49"/>
    </row>
    <row r="248" spans="2:19" x14ac:dyDescent="0.25">
      <c r="B248" s="67" t="str">
        <f>IF(F248&lt;&gt;"",1+MAX($B$22:B247),"")</f>
        <v/>
      </c>
      <c r="C248" s="68"/>
      <c r="D248" s="69" t="s">
        <v>154</v>
      </c>
      <c r="E248" s="23"/>
      <c r="F248" s="39"/>
      <c r="G248" s="17"/>
      <c r="H248" s="17">
        <f t="shared" si="81"/>
        <v>0</v>
      </c>
      <c r="I248" s="17">
        <f t="shared" si="82"/>
        <v>0</v>
      </c>
      <c r="J248" s="15"/>
      <c r="K248" s="10">
        <f t="shared" si="83"/>
        <v>0</v>
      </c>
      <c r="L248" s="10"/>
      <c r="M248" s="17"/>
      <c r="N248" s="17">
        <f t="shared" si="84"/>
        <v>0</v>
      </c>
      <c r="O248" s="17">
        <f t="shared" si="85"/>
        <v>0</v>
      </c>
      <c r="P248" s="17">
        <f t="shared" si="86"/>
        <v>0</v>
      </c>
      <c r="Q248" s="17">
        <f t="shared" si="87"/>
        <v>0</v>
      </c>
      <c r="R248" s="49"/>
    </row>
    <row r="249" spans="2:19" x14ac:dyDescent="0.25">
      <c r="B249" s="48" t="str">
        <f>IF(F249&lt;&gt;"",1+MAX($B$22:B248),"")</f>
        <v/>
      </c>
      <c r="C249" s="119" t="s">
        <v>268</v>
      </c>
      <c r="D249" s="8"/>
      <c r="E249" s="23"/>
      <c r="F249" s="39"/>
      <c r="G249" s="17"/>
      <c r="H249" s="17">
        <f t="shared" si="81"/>
        <v>0</v>
      </c>
      <c r="I249" s="17">
        <f t="shared" si="82"/>
        <v>0</v>
      </c>
      <c r="J249" s="15"/>
      <c r="K249" s="10">
        <f t="shared" si="83"/>
        <v>0</v>
      </c>
      <c r="L249" s="10"/>
      <c r="M249" s="17"/>
      <c r="N249" s="17">
        <f t="shared" si="84"/>
        <v>0</v>
      </c>
      <c r="O249" s="17">
        <f t="shared" si="85"/>
        <v>0</v>
      </c>
      <c r="P249" s="17">
        <f t="shared" si="86"/>
        <v>0</v>
      </c>
      <c r="Q249" s="17">
        <f t="shared" si="87"/>
        <v>0</v>
      </c>
      <c r="R249" s="49"/>
    </row>
    <row r="250" spans="2:19" x14ac:dyDescent="0.25">
      <c r="B250" s="48" t="str">
        <f>IF(F250&lt;&gt;"",1+MAX($B$22:B249),"")</f>
        <v/>
      </c>
      <c r="C250" s="119"/>
      <c r="D250" s="51" t="s">
        <v>297</v>
      </c>
      <c r="E250" s="23"/>
      <c r="F250" s="39"/>
      <c r="G250" s="17"/>
      <c r="H250" s="17">
        <f t="shared" si="81"/>
        <v>0</v>
      </c>
      <c r="I250" s="17">
        <f t="shared" si="82"/>
        <v>0</v>
      </c>
      <c r="J250" s="15"/>
      <c r="K250" s="10">
        <f t="shared" si="83"/>
        <v>0</v>
      </c>
      <c r="L250" s="10"/>
      <c r="M250" s="17"/>
      <c r="N250" s="17">
        <f t="shared" si="84"/>
        <v>0</v>
      </c>
      <c r="O250" s="17">
        <f t="shared" si="85"/>
        <v>0</v>
      </c>
      <c r="P250" s="17">
        <f t="shared" si="86"/>
        <v>0</v>
      </c>
      <c r="Q250" s="17">
        <f t="shared" si="87"/>
        <v>0</v>
      </c>
      <c r="R250" s="49"/>
    </row>
    <row r="251" spans="2:19" ht="55.2" x14ac:dyDescent="0.25">
      <c r="B251" s="48">
        <f>IF(F251&lt;&gt;"",1+MAX($B$22:B250),"")</f>
        <v>121</v>
      </c>
      <c r="C251" s="119"/>
      <c r="D251" s="8" t="s">
        <v>298</v>
      </c>
      <c r="E251" s="23" t="s">
        <v>73</v>
      </c>
      <c r="F251" s="39">
        <v>2071</v>
      </c>
      <c r="G251" s="17">
        <v>6.65</v>
      </c>
      <c r="H251" s="17">
        <f t="shared" si="81"/>
        <v>7.3150000000000013</v>
      </c>
      <c r="I251" s="17">
        <f t="shared" si="82"/>
        <v>15149.365000000003</v>
      </c>
      <c r="J251" s="15">
        <v>9.6331138287864534E-2</v>
      </c>
      <c r="K251" s="10">
        <f t="shared" si="83"/>
        <v>199.50178739416745</v>
      </c>
      <c r="L251" s="88" t="s">
        <v>381</v>
      </c>
      <c r="M251" s="89">
        <v>53.15</v>
      </c>
      <c r="N251" s="17">
        <f t="shared" si="84"/>
        <v>69.201300000000003</v>
      </c>
      <c r="O251" s="17">
        <f t="shared" si="85"/>
        <v>6.6662400000000002</v>
      </c>
      <c r="P251" s="17">
        <f t="shared" si="86"/>
        <v>13805.78304</v>
      </c>
      <c r="Q251" s="17">
        <f t="shared" si="87"/>
        <v>28955.148040000004</v>
      </c>
      <c r="R251" s="49"/>
    </row>
    <row r="252" spans="2:19" x14ac:dyDescent="0.25">
      <c r="B252" s="48" t="str">
        <f>IF(F252&lt;&gt;"",1+MAX($B$22:B251),"")</f>
        <v/>
      </c>
      <c r="C252" s="119"/>
      <c r="D252" s="8"/>
      <c r="E252" s="23"/>
      <c r="F252" s="39"/>
      <c r="G252" s="17"/>
      <c r="H252" s="17">
        <f t="shared" si="81"/>
        <v>0</v>
      </c>
      <c r="I252" s="17">
        <f t="shared" si="82"/>
        <v>0</v>
      </c>
      <c r="J252" s="15"/>
      <c r="K252" s="10">
        <f t="shared" si="83"/>
        <v>0</v>
      </c>
      <c r="L252" s="10"/>
      <c r="M252" s="17"/>
      <c r="N252" s="17">
        <f t="shared" si="84"/>
        <v>0</v>
      </c>
      <c r="O252" s="17">
        <f t="shared" si="85"/>
        <v>0</v>
      </c>
      <c r="P252" s="17">
        <f t="shared" si="86"/>
        <v>0</v>
      </c>
      <c r="Q252" s="17">
        <f t="shared" si="87"/>
        <v>0</v>
      </c>
      <c r="R252" s="49"/>
    </row>
    <row r="253" spans="2:19" x14ac:dyDescent="0.25">
      <c r="B253" s="48" t="str">
        <f>IF(F253&lt;&gt;"",1+MAX($B$22:B252),"")</f>
        <v/>
      </c>
      <c r="C253" s="119"/>
      <c r="D253" s="51" t="s">
        <v>155</v>
      </c>
      <c r="E253" s="23"/>
      <c r="F253" s="39"/>
      <c r="G253" s="17"/>
      <c r="H253" s="17">
        <f t="shared" si="81"/>
        <v>0</v>
      </c>
      <c r="I253" s="17">
        <f t="shared" si="82"/>
        <v>0</v>
      </c>
      <c r="J253" s="15"/>
      <c r="K253" s="10">
        <f t="shared" si="83"/>
        <v>0</v>
      </c>
      <c r="L253" s="10"/>
      <c r="M253" s="17"/>
      <c r="N253" s="17">
        <f t="shared" si="84"/>
        <v>0</v>
      </c>
      <c r="O253" s="17">
        <f t="shared" si="85"/>
        <v>0</v>
      </c>
      <c r="P253" s="17">
        <f t="shared" si="86"/>
        <v>0</v>
      </c>
      <c r="Q253" s="17">
        <f t="shared" si="87"/>
        <v>0</v>
      </c>
      <c r="R253" s="49"/>
    </row>
    <row r="254" spans="2:19" x14ac:dyDescent="0.25">
      <c r="B254" s="48">
        <f>IF(F254&lt;&gt;"",1+MAX($B$22:B253),"")</f>
        <v>122</v>
      </c>
      <c r="C254" s="119"/>
      <c r="D254" s="8" t="s">
        <v>299</v>
      </c>
      <c r="E254" s="23" t="s">
        <v>78</v>
      </c>
      <c r="F254" s="39">
        <v>365</v>
      </c>
      <c r="G254" s="17">
        <v>2.88</v>
      </c>
      <c r="H254" s="17">
        <f t="shared" si="81"/>
        <v>3.1680000000000001</v>
      </c>
      <c r="I254" s="17">
        <f t="shared" ref="I254:I255" si="91">F254*H254</f>
        <v>1156.3200000000002</v>
      </c>
      <c r="J254" s="15">
        <v>3.2000000000000001E-2</v>
      </c>
      <c r="K254" s="10">
        <f t="shared" ref="K254:K255" si="92">F254*J254</f>
        <v>11.68</v>
      </c>
      <c r="L254" s="88" t="s">
        <v>381</v>
      </c>
      <c r="M254" s="89">
        <v>53.15</v>
      </c>
      <c r="N254" s="17">
        <f t="shared" si="84"/>
        <v>69.201300000000003</v>
      </c>
      <c r="O254" s="17">
        <f t="shared" si="85"/>
        <v>2.2144416000000002</v>
      </c>
      <c r="P254" s="17">
        <f t="shared" si="86"/>
        <v>808.27118400000006</v>
      </c>
      <c r="Q254" s="17">
        <f t="shared" si="87"/>
        <v>1964.5911840000003</v>
      </c>
      <c r="R254" s="49"/>
    </row>
    <row r="255" spans="2:19" x14ac:dyDescent="0.25">
      <c r="B255" s="48">
        <f>IF(F255&lt;&gt;"",1+MAX($B$22:B254),"")</f>
        <v>123</v>
      </c>
      <c r="C255" s="119"/>
      <c r="D255" s="8" t="s">
        <v>300</v>
      </c>
      <c r="E255" s="23" t="s">
        <v>78</v>
      </c>
      <c r="F255" s="39">
        <v>103</v>
      </c>
      <c r="G255" s="17">
        <v>3.65</v>
      </c>
      <c r="H255" s="17">
        <f t="shared" si="81"/>
        <v>4.0150000000000006</v>
      </c>
      <c r="I255" s="17">
        <f t="shared" si="91"/>
        <v>413.54500000000007</v>
      </c>
      <c r="J255" s="15">
        <v>3.5000000000000003E-2</v>
      </c>
      <c r="K255" s="10">
        <f t="shared" si="92"/>
        <v>3.6050000000000004</v>
      </c>
      <c r="L255" s="88" t="s">
        <v>381</v>
      </c>
      <c r="M255" s="89">
        <v>53.15</v>
      </c>
      <c r="N255" s="17">
        <f t="shared" si="84"/>
        <v>69.201300000000003</v>
      </c>
      <c r="O255" s="17">
        <f t="shared" si="85"/>
        <v>2.4220455000000003</v>
      </c>
      <c r="P255" s="17">
        <f t="shared" si="86"/>
        <v>249.47068650000003</v>
      </c>
      <c r="Q255" s="17">
        <f t="shared" si="87"/>
        <v>663.01568650000013</v>
      </c>
      <c r="R255" s="49"/>
    </row>
    <row r="256" spans="2:19" x14ac:dyDescent="0.25">
      <c r="B256" s="48" t="str">
        <f>IF(F256&lt;&gt;"",1+MAX($B$22:B255),"")</f>
        <v/>
      </c>
      <c r="C256" s="52"/>
      <c r="D256" s="8"/>
      <c r="E256" s="23"/>
      <c r="F256" s="39"/>
      <c r="G256" s="17"/>
      <c r="H256" s="17">
        <f t="shared" si="81"/>
        <v>0</v>
      </c>
      <c r="I256" s="17">
        <f t="shared" si="82"/>
        <v>0</v>
      </c>
      <c r="J256" s="15"/>
      <c r="K256" s="10">
        <f t="shared" si="83"/>
        <v>0</v>
      </c>
      <c r="L256" s="10"/>
      <c r="M256" s="17"/>
      <c r="N256" s="17">
        <f t="shared" si="84"/>
        <v>0</v>
      </c>
      <c r="O256" s="17">
        <f t="shared" si="85"/>
        <v>0</v>
      </c>
      <c r="P256" s="17">
        <f t="shared" si="86"/>
        <v>0</v>
      </c>
      <c r="Q256" s="17">
        <f t="shared" si="87"/>
        <v>0</v>
      </c>
      <c r="R256" s="49"/>
      <c r="S256" s="12"/>
    </row>
    <row r="257" spans="2:19" s="12" customFormat="1" ht="12.75" customHeight="1" x14ac:dyDescent="0.25">
      <c r="B257" s="13" t="str">
        <f>IF(F257&lt;&gt;"",1+MAX($B$22:B256),"")</f>
        <v/>
      </c>
      <c r="C257" s="13" t="s">
        <v>48</v>
      </c>
      <c r="D257" s="6" t="s">
        <v>14</v>
      </c>
      <c r="E257" s="121" t="s">
        <v>61</v>
      </c>
      <c r="F257" s="121"/>
      <c r="G257" s="121"/>
      <c r="H257" s="53">
        <f>SUM(I258:I294)</f>
        <v>35580.6</v>
      </c>
      <c r="I257" s="7">
        <f t="shared" ref="I257:I265" si="93">F257*H257</f>
        <v>0</v>
      </c>
      <c r="J257" s="7"/>
      <c r="K257" s="122" t="s">
        <v>62</v>
      </c>
      <c r="L257" s="122"/>
      <c r="M257" s="122"/>
      <c r="N257" s="122"/>
      <c r="O257" s="53">
        <f>SUM(P258:P294)</f>
        <v>14001.96846044741</v>
      </c>
      <c r="P257" s="7">
        <f t="shared" ref="P257:P265" si="94">F257*O257</f>
        <v>0</v>
      </c>
      <c r="Q257" s="47">
        <f>SUM(Q258:Q294)</f>
        <v>49582.568460447401</v>
      </c>
      <c r="R257" s="47">
        <f>(Q257)+(H257*$Q$8)+(O257*$Q$9)+(Q257*$Q$10)+($Q$11*((Q257)+(H257*$Q$8)+(O257*$Q$9)+(Q257*$Q$10)))+(Q257*$Q$12)</f>
        <v>70166.391358658439</v>
      </c>
    </row>
    <row r="258" spans="2:19" x14ac:dyDescent="0.25">
      <c r="B258" s="48" t="str">
        <f>IF(F258&lt;&gt;"",1+MAX($B$22:B257),"")</f>
        <v/>
      </c>
      <c r="C258" s="52"/>
      <c r="D258" s="8"/>
      <c r="E258" s="23"/>
      <c r="F258" s="39"/>
      <c r="G258" s="17"/>
      <c r="H258" s="17">
        <f t="shared" ref="H258:H294" si="95">G258*$T$2</f>
        <v>0</v>
      </c>
      <c r="I258" s="17">
        <f t="shared" si="93"/>
        <v>0</v>
      </c>
      <c r="J258" s="15"/>
      <c r="K258" s="10">
        <f t="shared" ref="K258:K294" si="96">F258*J258</f>
        <v>0</v>
      </c>
      <c r="L258" s="10"/>
      <c r="M258" s="17"/>
      <c r="N258" s="17">
        <f t="shared" ref="N258:N294" si="97">M258*$U$2</f>
        <v>0</v>
      </c>
      <c r="O258" s="17">
        <f t="shared" ref="O258:O294" si="98">J258*N258</f>
        <v>0</v>
      </c>
      <c r="P258" s="17">
        <f t="shared" si="94"/>
        <v>0</v>
      </c>
      <c r="Q258" s="17">
        <f t="shared" ref="Q258:Q294" si="99">I258+P258</f>
        <v>0</v>
      </c>
      <c r="R258" s="49"/>
      <c r="S258" s="12"/>
    </row>
    <row r="259" spans="2:19" x14ac:dyDescent="0.25">
      <c r="B259" s="67" t="str">
        <f>IF(F259&lt;&gt;"",1+MAX($B$22:B258),"")</f>
        <v/>
      </c>
      <c r="C259" s="68"/>
      <c r="D259" s="69" t="s">
        <v>99</v>
      </c>
      <c r="E259" s="23"/>
      <c r="F259" s="39"/>
      <c r="G259" s="17"/>
      <c r="H259" s="17">
        <f t="shared" si="95"/>
        <v>0</v>
      </c>
      <c r="I259" s="17">
        <f t="shared" si="93"/>
        <v>0</v>
      </c>
      <c r="J259" s="15"/>
      <c r="K259" s="10">
        <f t="shared" si="96"/>
        <v>0</v>
      </c>
      <c r="L259" s="10"/>
      <c r="M259" s="17"/>
      <c r="N259" s="17">
        <f t="shared" si="97"/>
        <v>0</v>
      </c>
      <c r="O259" s="17">
        <f t="shared" si="98"/>
        <v>0</v>
      </c>
      <c r="P259" s="17">
        <f t="shared" si="94"/>
        <v>0</v>
      </c>
      <c r="Q259" s="17">
        <f t="shared" si="99"/>
        <v>0</v>
      </c>
      <c r="R259" s="49"/>
    </row>
    <row r="260" spans="2:19" x14ac:dyDescent="0.25">
      <c r="B260" s="48" t="str">
        <f>IF(F260&lt;&gt;"",1+MAX($B$22:B259),"")</f>
        <v/>
      </c>
      <c r="C260" s="52"/>
      <c r="D260" s="51"/>
      <c r="E260" s="23"/>
      <c r="F260" s="39"/>
      <c r="G260" s="17"/>
      <c r="H260" s="17">
        <f t="shared" si="95"/>
        <v>0</v>
      </c>
      <c r="I260" s="17">
        <f t="shared" si="93"/>
        <v>0</v>
      </c>
      <c r="J260" s="15"/>
      <c r="K260" s="10">
        <f t="shared" si="96"/>
        <v>0</v>
      </c>
      <c r="L260" s="10"/>
      <c r="M260" s="17"/>
      <c r="N260" s="17">
        <f t="shared" si="97"/>
        <v>0</v>
      </c>
      <c r="O260" s="17">
        <f t="shared" si="98"/>
        <v>0</v>
      </c>
      <c r="P260" s="17">
        <f t="shared" si="94"/>
        <v>0</v>
      </c>
      <c r="Q260" s="17">
        <f t="shared" si="99"/>
        <v>0</v>
      </c>
      <c r="R260" s="49"/>
    </row>
    <row r="261" spans="2:19" x14ac:dyDescent="0.25">
      <c r="B261" s="48" t="str">
        <f>IF(F261&lt;&gt;"",1+MAX($B$22:B260),"")</f>
        <v/>
      </c>
      <c r="C261" s="119" t="s">
        <v>278</v>
      </c>
      <c r="D261" s="51" t="s">
        <v>101</v>
      </c>
      <c r="E261" s="23"/>
      <c r="F261" s="39"/>
      <c r="G261" s="17"/>
      <c r="H261" s="17">
        <f t="shared" si="95"/>
        <v>0</v>
      </c>
      <c r="I261" s="17">
        <f t="shared" si="93"/>
        <v>0</v>
      </c>
      <c r="J261" s="15"/>
      <c r="K261" s="10">
        <f t="shared" si="96"/>
        <v>0</v>
      </c>
      <c r="L261" s="10"/>
      <c r="M261" s="17"/>
      <c r="N261" s="17">
        <f t="shared" si="97"/>
        <v>0</v>
      </c>
      <c r="O261" s="17">
        <f t="shared" si="98"/>
        <v>0</v>
      </c>
      <c r="P261" s="17">
        <f t="shared" si="94"/>
        <v>0</v>
      </c>
      <c r="Q261" s="17">
        <f t="shared" si="99"/>
        <v>0</v>
      </c>
      <c r="R261" s="49"/>
    </row>
    <row r="262" spans="2:19" ht="27.6" x14ac:dyDescent="0.25">
      <c r="B262" s="48">
        <f>IF(F262&lt;&gt;"",1+MAX($B$22:B261),"")</f>
        <v>124</v>
      </c>
      <c r="C262" s="119"/>
      <c r="D262" s="8" t="s">
        <v>301</v>
      </c>
      <c r="E262" s="23" t="s">
        <v>96</v>
      </c>
      <c r="F262" s="39">
        <v>1</v>
      </c>
      <c r="G262" s="17">
        <v>560</v>
      </c>
      <c r="H262" s="17">
        <f t="shared" si="95"/>
        <v>616</v>
      </c>
      <c r="I262" s="17">
        <f t="shared" si="93"/>
        <v>616</v>
      </c>
      <c r="J262" s="15">
        <v>4.5995950476190473</v>
      </c>
      <c r="K262" s="10">
        <f t="shared" si="96"/>
        <v>4.5995950476190473</v>
      </c>
      <c r="L262" s="88" t="s">
        <v>386</v>
      </c>
      <c r="M262" s="89">
        <v>53.15</v>
      </c>
      <c r="N262" s="17">
        <f t="shared" si="97"/>
        <v>69.201300000000003</v>
      </c>
      <c r="O262" s="17">
        <f t="shared" si="98"/>
        <v>318.29795676879996</v>
      </c>
      <c r="P262" s="17">
        <f t="shared" si="94"/>
        <v>318.29795676879996</v>
      </c>
      <c r="Q262" s="17">
        <f t="shared" si="99"/>
        <v>934.29795676879996</v>
      </c>
      <c r="R262" s="49"/>
    </row>
    <row r="263" spans="2:19" x14ac:dyDescent="0.25">
      <c r="B263" s="48">
        <f>IF(F263&lt;&gt;"",1+MAX($B$22:B262),"")</f>
        <v>125</v>
      </c>
      <c r="C263" s="119"/>
      <c r="D263" s="8" t="s">
        <v>302</v>
      </c>
      <c r="E263" s="23" t="s">
        <v>96</v>
      </c>
      <c r="F263" s="39">
        <v>3</v>
      </c>
      <c r="G263" s="17">
        <v>705</v>
      </c>
      <c r="H263" s="17">
        <f t="shared" si="95"/>
        <v>775.50000000000011</v>
      </c>
      <c r="I263" s="17">
        <f t="shared" si="93"/>
        <v>2326.5000000000005</v>
      </c>
      <c r="J263" s="15">
        <v>5.74949380952381</v>
      </c>
      <c r="K263" s="10">
        <f t="shared" si="96"/>
        <v>17.248481428571431</v>
      </c>
      <c r="L263" s="88" t="s">
        <v>386</v>
      </c>
      <c r="M263" s="89">
        <v>53.15</v>
      </c>
      <c r="N263" s="17">
        <f t="shared" si="97"/>
        <v>69.201300000000003</v>
      </c>
      <c r="O263" s="17">
        <f t="shared" si="98"/>
        <v>397.87244596100004</v>
      </c>
      <c r="P263" s="17">
        <f t="shared" si="94"/>
        <v>1193.6173378830001</v>
      </c>
      <c r="Q263" s="17">
        <f t="shared" si="99"/>
        <v>3520.1173378830008</v>
      </c>
      <c r="R263" s="49"/>
    </row>
    <row r="264" spans="2:19" ht="41.4" x14ac:dyDescent="0.25">
      <c r="B264" s="48">
        <f>IF(F264&lt;&gt;"",1+MAX($B$22:B263),"")</f>
        <v>126</v>
      </c>
      <c r="C264" s="119"/>
      <c r="D264" s="8" t="s">
        <v>303</v>
      </c>
      <c r="E264" s="23" t="s">
        <v>96</v>
      </c>
      <c r="F264" s="39">
        <v>1</v>
      </c>
      <c r="G264" s="17">
        <v>210</v>
      </c>
      <c r="H264" s="17">
        <f t="shared" si="95"/>
        <v>231.00000000000003</v>
      </c>
      <c r="I264" s="17">
        <f t="shared" si="93"/>
        <v>231.00000000000003</v>
      </c>
      <c r="J264" s="15">
        <v>1.3798095238095238</v>
      </c>
      <c r="K264" s="10">
        <f t="shared" si="96"/>
        <v>1.3798095238095238</v>
      </c>
      <c r="L264" s="88" t="s">
        <v>386</v>
      </c>
      <c r="M264" s="89">
        <v>53.15</v>
      </c>
      <c r="N264" s="17">
        <f t="shared" si="97"/>
        <v>69.201300000000003</v>
      </c>
      <c r="O264" s="17">
        <f t="shared" si="98"/>
        <v>95.484612800000008</v>
      </c>
      <c r="P264" s="17">
        <f t="shared" si="94"/>
        <v>95.484612800000008</v>
      </c>
      <c r="Q264" s="17">
        <f t="shared" si="99"/>
        <v>326.48461280000004</v>
      </c>
      <c r="R264" s="49"/>
    </row>
    <row r="265" spans="2:19" ht="41.4" x14ac:dyDescent="0.25">
      <c r="B265" s="48">
        <f>IF(F265&lt;&gt;"",1+MAX($B$22:B264),"")</f>
        <v>127</v>
      </c>
      <c r="C265" s="119"/>
      <c r="D265" s="8" t="s">
        <v>304</v>
      </c>
      <c r="E265" s="23" t="s">
        <v>96</v>
      </c>
      <c r="F265" s="39">
        <v>1</v>
      </c>
      <c r="G265" s="17">
        <v>845</v>
      </c>
      <c r="H265" s="17">
        <f t="shared" si="95"/>
        <v>929.50000000000011</v>
      </c>
      <c r="I265" s="17">
        <f t="shared" si="93"/>
        <v>929.50000000000011</v>
      </c>
      <c r="J265" s="15">
        <v>6.8993925714285709</v>
      </c>
      <c r="K265" s="10">
        <f t="shared" si="96"/>
        <v>6.8993925714285709</v>
      </c>
      <c r="L265" s="88" t="s">
        <v>386</v>
      </c>
      <c r="M265" s="89">
        <v>53.15</v>
      </c>
      <c r="N265" s="17">
        <f t="shared" si="97"/>
        <v>69.201300000000003</v>
      </c>
      <c r="O265" s="17">
        <f t="shared" si="98"/>
        <v>477.4469351532</v>
      </c>
      <c r="P265" s="17">
        <f t="shared" si="94"/>
        <v>477.4469351532</v>
      </c>
      <c r="Q265" s="17">
        <f t="shared" si="99"/>
        <v>1406.9469351532002</v>
      </c>
      <c r="R265" s="49"/>
    </row>
    <row r="266" spans="2:19" x14ac:dyDescent="0.25">
      <c r="B266" s="48" t="str">
        <f>IF(F266&lt;&gt;"",1+MAX($B$22:B265),"")</f>
        <v/>
      </c>
      <c r="C266" s="119"/>
      <c r="D266" s="8"/>
      <c r="E266" s="23"/>
      <c r="F266" s="39"/>
      <c r="G266" s="17"/>
      <c r="H266" s="17">
        <f t="shared" si="95"/>
        <v>0</v>
      </c>
      <c r="I266" s="17">
        <f t="shared" ref="I266:I294" si="100">F266*H266</f>
        <v>0</v>
      </c>
      <c r="J266" s="15"/>
      <c r="K266" s="10">
        <f t="shared" si="96"/>
        <v>0</v>
      </c>
      <c r="L266" s="10"/>
      <c r="M266" s="17"/>
      <c r="N266" s="17">
        <f t="shared" si="97"/>
        <v>0</v>
      </c>
      <c r="O266" s="17">
        <f t="shared" si="98"/>
        <v>0</v>
      </c>
      <c r="P266" s="17">
        <f t="shared" ref="P266:P294" si="101">F266*O266</f>
        <v>0</v>
      </c>
      <c r="Q266" s="17">
        <f t="shared" si="99"/>
        <v>0</v>
      </c>
      <c r="R266" s="49"/>
    </row>
    <row r="267" spans="2:19" x14ac:dyDescent="0.25">
      <c r="B267" s="48" t="str">
        <f>IF(F267&lt;&gt;"",1+MAX($B$22:B266),"")</f>
        <v/>
      </c>
      <c r="C267" s="119"/>
      <c r="D267" s="51" t="s">
        <v>100</v>
      </c>
      <c r="E267" s="23"/>
      <c r="F267" s="39"/>
      <c r="G267" s="17"/>
      <c r="H267" s="17">
        <f t="shared" si="95"/>
        <v>0</v>
      </c>
      <c r="I267" s="17">
        <f t="shared" si="100"/>
        <v>0</v>
      </c>
      <c r="J267" s="15"/>
      <c r="K267" s="10">
        <f t="shared" si="96"/>
        <v>0</v>
      </c>
      <c r="L267" s="10"/>
      <c r="M267" s="17"/>
      <c r="N267" s="17">
        <f t="shared" si="97"/>
        <v>0</v>
      </c>
      <c r="O267" s="17">
        <f t="shared" si="98"/>
        <v>0</v>
      </c>
      <c r="P267" s="17">
        <f t="shared" si="101"/>
        <v>0</v>
      </c>
      <c r="Q267" s="17">
        <f t="shared" si="99"/>
        <v>0</v>
      </c>
      <c r="R267" s="49"/>
    </row>
    <row r="268" spans="2:19" ht="28.5" customHeight="1" x14ac:dyDescent="0.25">
      <c r="B268" s="48">
        <f>IF(F268&lt;&gt;"",1+MAX($B$22:B267),"")</f>
        <v>128</v>
      </c>
      <c r="C268" s="119"/>
      <c r="D268" s="8" t="s">
        <v>305</v>
      </c>
      <c r="E268" s="23" t="s">
        <v>96</v>
      </c>
      <c r="F268" s="39">
        <v>1</v>
      </c>
      <c r="G268" s="17">
        <v>2095</v>
      </c>
      <c r="H268" s="17">
        <f t="shared" si="95"/>
        <v>2304.5</v>
      </c>
      <c r="I268" s="17">
        <f t="shared" si="100"/>
        <v>2304.5</v>
      </c>
      <c r="J268" s="15">
        <v>6.9294664559999983</v>
      </c>
      <c r="K268" s="10">
        <f t="shared" si="96"/>
        <v>6.9294664559999983</v>
      </c>
      <c r="L268" s="88" t="s">
        <v>386</v>
      </c>
      <c r="M268" s="89">
        <v>53.15</v>
      </c>
      <c r="N268" s="17">
        <f t="shared" si="97"/>
        <v>69.201300000000003</v>
      </c>
      <c r="O268" s="17">
        <f t="shared" si="98"/>
        <v>479.52808706159271</v>
      </c>
      <c r="P268" s="17">
        <f t="shared" si="101"/>
        <v>479.52808706159271</v>
      </c>
      <c r="Q268" s="17">
        <f t="shared" si="99"/>
        <v>2784.0280870615925</v>
      </c>
      <c r="R268" s="49"/>
    </row>
    <row r="269" spans="2:19" ht="28.5" customHeight="1" x14ac:dyDescent="0.25">
      <c r="B269" s="48">
        <f>IF(F269&lt;&gt;"",1+MAX($B$22:B268),"")</f>
        <v>129</v>
      </c>
      <c r="C269" s="119"/>
      <c r="D269" s="8" t="s">
        <v>306</v>
      </c>
      <c r="E269" s="23" t="s">
        <v>96</v>
      </c>
      <c r="F269" s="39">
        <v>3</v>
      </c>
      <c r="G269" s="17">
        <v>2360</v>
      </c>
      <c r="H269" s="17">
        <f t="shared" si="95"/>
        <v>2596</v>
      </c>
      <c r="I269" s="17">
        <f t="shared" si="100"/>
        <v>7788</v>
      </c>
      <c r="J269" s="15">
        <v>7.794675428571427</v>
      </c>
      <c r="K269" s="10">
        <f t="shared" si="96"/>
        <v>23.384026285714281</v>
      </c>
      <c r="L269" s="88" t="s">
        <v>386</v>
      </c>
      <c r="M269" s="89">
        <v>53.15</v>
      </c>
      <c r="N269" s="17">
        <f t="shared" si="97"/>
        <v>69.201300000000003</v>
      </c>
      <c r="O269" s="17">
        <f t="shared" si="98"/>
        <v>539.4016727351999</v>
      </c>
      <c r="P269" s="17">
        <f t="shared" si="101"/>
        <v>1618.2050182055996</v>
      </c>
      <c r="Q269" s="17">
        <f t="shared" si="99"/>
        <v>9406.2050182055991</v>
      </c>
      <c r="R269" s="49"/>
    </row>
    <row r="270" spans="2:19" x14ac:dyDescent="0.25">
      <c r="B270" s="48" t="str">
        <f>IF(F270&lt;&gt;"",1+MAX($B$22:B269),"")</f>
        <v/>
      </c>
      <c r="C270" s="119"/>
      <c r="D270" s="51" t="s">
        <v>307</v>
      </c>
      <c r="E270" s="23"/>
      <c r="F270" s="39"/>
      <c r="G270" s="17"/>
      <c r="H270" s="17">
        <f t="shared" si="95"/>
        <v>0</v>
      </c>
      <c r="I270" s="17">
        <f t="shared" si="100"/>
        <v>0</v>
      </c>
      <c r="J270" s="15"/>
      <c r="K270" s="10">
        <f t="shared" si="96"/>
        <v>0</v>
      </c>
      <c r="L270" s="10"/>
      <c r="M270" s="17"/>
      <c r="N270" s="17">
        <f t="shared" si="97"/>
        <v>0</v>
      </c>
      <c r="O270" s="17">
        <f t="shared" si="98"/>
        <v>0</v>
      </c>
      <c r="P270" s="17">
        <f t="shared" si="101"/>
        <v>0</v>
      </c>
      <c r="Q270" s="17">
        <f t="shared" si="99"/>
        <v>0</v>
      </c>
      <c r="R270" s="49"/>
    </row>
    <row r="271" spans="2:19" x14ac:dyDescent="0.25">
      <c r="B271" s="48" t="str">
        <f>IF(F271&lt;&gt;"",1+MAX($B$22:B270),"")</f>
        <v/>
      </c>
      <c r="C271" s="119"/>
      <c r="D271" s="8"/>
      <c r="E271" s="23"/>
      <c r="F271" s="39"/>
      <c r="G271" s="17"/>
      <c r="H271" s="17">
        <f t="shared" si="95"/>
        <v>0</v>
      </c>
      <c r="I271" s="17">
        <f t="shared" si="100"/>
        <v>0</v>
      </c>
      <c r="J271" s="15"/>
      <c r="K271" s="10">
        <f t="shared" si="96"/>
        <v>0</v>
      </c>
      <c r="L271" s="10"/>
      <c r="M271" s="17"/>
      <c r="N271" s="17">
        <f t="shared" si="97"/>
        <v>0</v>
      </c>
      <c r="O271" s="17">
        <f t="shared" si="98"/>
        <v>0</v>
      </c>
      <c r="P271" s="17">
        <f t="shared" si="101"/>
        <v>0</v>
      </c>
      <c r="Q271" s="17">
        <f t="shared" si="99"/>
        <v>0</v>
      </c>
      <c r="R271" s="49"/>
    </row>
    <row r="272" spans="2:19" x14ac:dyDescent="0.25">
      <c r="B272" s="48" t="str">
        <f>IF(F272&lt;&gt;"",1+MAX($B$22:B271),"")</f>
        <v/>
      </c>
      <c r="C272" s="119"/>
      <c r="D272" s="51" t="s">
        <v>308</v>
      </c>
      <c r="E272" s="23"/>
      <c r="F272" s="39"/>
      <c r="G272" s="17"/>
      <c r="H272" s="17">
        <f t="shared" si="95"/>
        <v>0</v>
      </c>
      <c r="I272" s="17">
        <f t="shared" si="100"/>
        <v>0</v>
      </c>
      <c r="J272" s="15"/>
      <c r="K272" s="10">
        <f t="shared" si="96"/>
        <v>0</v>
      </c>
      <c r="L272" s="10"/>
      <c r="M272" s="17"/>
      <c r="N272" s="17">
        <f t="shared" si="97"/>
        <v>0</v>
      </c>
      <c r="O272" s="17">
        <f t="shared" si="98"/>
        <v>0</v>
      </c>
      <c r="P272" s="17">
        <f t="shared" si="101"/>
        <v>0</v>
      </c>
      <c r="Q272" s="17">
        <f t="shared" si="99"/>
        <v>0</v>
      </c>
      <c r="R272" s="49"/>
    </row>
    <row r="273" spans="2:19" ht="27.6" x14ac:dyDescent="0.25">
      <c r="B273" s="48">
        <f>IF(F273&lt;&gt;"",1+MAX($B$22:B272),"")</f>
        <v>130</v>
      </c>
      <c r="C273" s="119"/>
      <c r="D273" s="8" t="s">
        <v>309</v>
      </c>
      <c r="E273" s="23" t="s">
        <v>96</v>
      </c>
      <c r="F273" s="39">
        <v>2</v>
      </c>
      <c r="G273" s="17">
        <v>2080</v>
      </c>
      <c r="H273" s="17">
        <f t="shared" si="95"/>
        <v>2288</v>
      </c>
      <c r="I273" s="17">
        <f t="shared" si="100"/>
        <v>4576</v>
      </c>
      <c r="J273" s="15">
        <v>19.351499999999998</v>
      </c>
      <c r="K273" s="10">
        <f t="shared" si="96"/>
        <v>38.702999999999996</v>
      </c>
      <c r="L273" s="88" t="s">
        <v>389</v>
      </c>
      <c r="M273" s="89">
        <v>57.65</v>
      </c>
      <c r="N273" s="17">
        <f t="shared" si="97"/>
        <v>75.060299999999998</v>
      </c>
      <c r="O273" s="17">
        <f t="shared" si="98"/>
        <v>1452.5293954499998</v>
      </c>
      <c r="P273" s="17">
        <f t="shared" si="101"/>
        <v>2905.0587908999996</v>
      </c>
      <c r="Q273" s="17">
        <f t="shared" si="99"/>
        <v>7481.0587908999996</v>
      </c>
      <c r="R273" s="49"/>
    </row>
    <row r="274" spans="2:19" x14ac:dyDescent="0.25">
      <c r="B274" s="48" t="str">
        <f>IF(F274&lt;&gt;"",1+MAX($B$22:B273),"")</f>
        <v/>
      </c>
      <c r="C274" s="52"/>
      <c r="D274" s="8"/>
      <c r="E274" s="23"/>
      <c r="F274" s="39"/>
      <c r="G274" s="17"/>
      <c r="H274" s="17">
        <f t="shared" si="95"/>
        <v>0</v>
      </c>
      <c r="I274" s="17">
        <f t="shared" si="100"/>
        <v>0</v>
      </c>
      <c r="J274" s="15"/>
      <c r="K274" s="10">
        <f t="shared" si="96"/>
        <v>0</v>
      </c>
      <c r="L274" s="10"/>
      <c r="M274" s="17"/>
      <c r="N274" s="17">
        <f t="shared" si="97"/>
        <v>0</v>
      </c>
      <c r="O274" s="17">
        <f t="shared" si="98"/>
        <v>0</v>
      </c>
      <c r="P274" s="17">
        <f t="shared" si="101"/>
        <v>0</v>
      </c>
      <c r="Q274" s="17">
        <f t="shared" si="99"/>
        <v>0</v>
      </c>
      <c r="R274" s="49"/>
    </row>
    <row r="275" spans="2:19" x14ac:dyDescent="0.25">
      <c r="B275" s="67" t="str">
        <f>IF(F275&lt;&gt;"",1+MAX($B$22:B274),"")</f>
        <v/>
      </c>
      <c r="C275" s="68"/>
      <c r="D275" s="69" t="s">
        <v>102</v>
      </c>
      <c r="E275" s="23"/>
      <c r="F275" s="39"/>
      <c r="G275" s="17"/>
      <c r="H275" s="17">
        <f t="shared" si="95"/>
        <v>0</v>
      </c>
      <c r="I275" s="17">
        <f t="shared" si="100"/>
        <v>0</v>
      </c>
      <c r="J275" s="15"/>
      <c r="K275" s="10">
        <f t="shared" si="96"/>
        <v>0</v>
      </c>
      <c r="L275" s="10"/>
      <c r="M275" s="17"/>
      <c r="N275" s="17">
        <f t="shared" si="97"/>
        <v>0</v>
      </c>
      <c r="O275" s="17">
        <f t="shared" si="98"/>
        <v>0</v>
      </c>
      <c r="P275" s="17">
        <f t="shared" si="101"/>
        <v>0</v>
      </c>
      <c r="Q275" s="17">
        <f t="shared" si="99"/>
        <v>0</v>
      </c>
      <c r="R275" s="49"/>
    </row>
    <row r="276" spans="2:19" x14ac:dyDescent="0.25">
      <c r="B276" s="48">
        <f>IF(F276&lt;&gt;"",1+MAX($B$22:B275),"")</f>
        <v>131</v>
      </c>
      <c r="C276" s="119" t="s">
        <v>278</v>
      </c>
      <c r="D276" s="8" t="s">
        <v>104</v>
      </c>
      <c r="E276" s="23" t="s">
        <v>96</v>
      </c>
      <c r="F276" s="39">
        <v>6</v>
      </c>
      <c r="G276" s="17">
        <v>340</v>
      </c>
      <c r="H276" s="17">
        <f t="shared" si="95"/>
        <v>374.00000000000006</v>
      </c>
      <c r="I276" s="17">
        <f>F276*H276</f>
        <v>2244.0000000000005</v>
      </c>
      <c r="J276" s="15">
        <v>1.85</v>
      </c>
      <c r="K276" s="10">
        <f>F276*J276</f>
        <v>11.100000000000001</v>
      </c>
      <c r="L276" s="88" t="s">
        <v>386</v>
      </c>
      <c r="M276" s="89">
        <v>53.15</v>
      </c>
      <c r="N276" s="17">
        <f t="shared" si="97"/>
        <v>69.201300000000003</v>
      </c>
      <c r="O276" s="17">
        <f t="shared" si="98"/>
        <v>128.02240500000002</v>
      </c>
      <c r="P276" s="17">
        <f t="shared" si="101"/>
        <v>768.13443000000007</v>
      </c>
      <c r="Q276" s="17">
        <f t="shared" si="99"/>
        <v>3012.1344300000005</v>
      </c>
      <c r="R276" s="49"/>
    </row>
    <row r="277" spans="2:19" x14ac:dyDescent="0.25">
      <c r="B277" s="48">
        <f>IF(F277&lt;&gt;"",1+MAX($B$22:B276),"")</f>
        <v>132</v>
      </c>
      <c r="C277" s="119"/>
      <c r="D277" s="8" t="s">
        <v>103</v>
      </c>
      <c r="E277" s="23" t="s">
        <v>96</v>
      </c>
      <c r="F277" s="39">
        <v>4</v>
      </c>
      <c r="G277" s="17">
        <v>410</v>
      </c>
      <c r="H277" s="17">
        <f t="shared" si="95"/>
        <v>451.00000000000006</v>
      </c>
      <c r="I277" s="17">
        <f>F277*H277</f>
        <v>1804.0000000000002</v>
      </c>
      <c r="J277" s="15">
        <v>1.98</v>
      </c>
      <c r="K277" s="10">
        <f>F277*J277</f>
        <v>7.92</v>
      </c>
      <c r="L277" s="88" t="s">
        <v>386</v>
      </c>
      <c r="M277" s="89">
        <v>53.15</v>
      </c>
      <c r="N277" s="17">
        <f t="shared" si="97"/>
        <v>69.201300000000003</v>
      </c>
      <c r="O277" s="17">
        <f t="shared" si="98"/>
        <v>137.018574</v>
      </c>
      <c r="P277" s="17">
        <f t="shared" si="101"/>
        <v>548.074296</v>
      </c>
      <c r="Q277" s="17">
        <f t="shared" si="99"/>
        <v>2352.0742960000002</v>
      </c>
      <c r="R277" s="49"/>
    </row>
    <row r="278" spans="2:19" x14ac:dyDescent="0.25">
      <c r="B278" s="48">
        <f>IF(F278&lt;&gt;"",1+MAX($B$22:B277),"")</f>
        <v>133</v>
      </c>
      <c r="C278" s="119"/>
      <c r="D278" s="8" t="s">
        <v>310</v>
      </c>
      <c r="E278" s="23" t="s">
        <v>96</v>
      </c>
      <c r="F278" s="39">
        <v>2</v>
      </c>
      <c r="G278" s="17">
        <v>450</v>
      </c>
      <c r="H278" s="17">
        <f t="shared" si="95"/>
        <v>495.00000000000006</v>
      </c>
      <c r="I278" s="17">
        <f>F278*H278</f>
        <v>990.00000000000011</v>
      </c>
      <c r="J278" s="15">
        <v>2.25</v>
      </c>
      <c r="K278" s="10">
        <f>F278*J278</f>
        <v>4.5</v>
      </c>
      <c r="L278" s="88" t="s">
        <v>386</v>
      </c>
      <c r="M278" s="89">
        <v>53.15</v>
      </c>
      <c r="N278" s="17">
        <f t="shared" si="97"/>
        <v>69.201300000000003</v>
      </c>
      <c r="O278" s="17">
        <f t="shared" si="98"/>
        <v>155.70292499999999</v>
      </c>
      <c r="P278" s="17">
        <f t="shared" si="101"/>
        <v>311.40584999999999</v>
      </c>
      <c r="Q278" s="17">
        <f t="shared" si="99"/>
        <v>1301.4058500000001</v>
      </c>
      <c r="R278" s="49"/>
    </row>
    <row r="279" spans="2:19" x14ac:dyDescent="0.25">
      <c r="B279" s="48" t="str">
        <f>IF(F279&lt;&gt;"",1+MAX($B$22:B278),"")</f>
        <v/>
      </c>
      <c r="C279" s="52"/>
      <c r="D279" s="8"/>
      <c r="E279" s="23"/>
      <c r="F279" s="39"/>
      <c r="G279" s="17"/>
      <c r="H279" s="17">
        <f t="shared" si="95"/>
        <v>0</v>
      </c>
      <c r="I279" s="17">
        <f t="shared" si="100"/>
        <v>0</v>
      </c>
      <c r="J279" s="15"/>
      <c r="K279" s="10">
        <f t="shared" si="96"/>
        <v>0</v>
      </c>
      <c r="L279" s="10"/>
      <c r="M279" s="17"/>
      <c r="N279" s="17">
        <f t="shared" si="97"/>
        <v>0</v>
      </c>
      <c r="O279" s="17">
        <f t="shared" si="98"/>
        <v>0</v>
      </c>
      <c r="P279" s="17">
        <f t="shared" si="101"/>
        <v>0</v>
      </c>
      <c r="Q279" s="17">
        <f t="shared" si="99"/>
        <v>0</v>
      </c>
      <c r="R279" s="49"/>
    </row>
    <row r="280" spans="2:19" x14ac:dyDescent="0.25">
      <c r="B280" s="67" t="str">
        <f>IF(F280&lt;&gt;"",1+MAX($B$22:B279),"")</f>
        <v/>
      </c>
      <c r="C280" s="68"/>
      <c r="D280" s="69" t="s">
        <v>311</v>
      </c>
      <c r="E280" s="23"/>
      <c r="F280" s="39"/>
      <c r="G280" s="17"/>
      <c r="H280" s="17">
        <f t="shared" si="95"/>
        <v>0</v>
      </c>
      <c r="I280" s="17">
        <f t="shared" si="100"/>
        <v>0</v>
      </c>
      <c r="J280" s="15"/>
      <c r="K280" s="10">
        <f t="shared" si="96"/>
        <v>0</v>
      </c>
      <c r="L280" s="10"/>
      <c r="M280" s="17"/>
      <c r="N280" s="17">
        <f t="shared" si="97"/>
        <v>0</v>
      </c>
      <c r="O280" s="17">
        <f t="shared" si="98"/>
        <v>0</v>
      </c>
      <c r="P280" s="17">
        <f t="shared" si="101"/>
        <v>0</v>
      </c>
      <c r="Q280" s="17">
        <f t="shared" si="99"/>
        <v>0</v>
      </c>
      <c r="R280" s="49"/>
    </row>
    <row r="281" spans="2:19" ht="27.6" x14ac:dyDescent="0.25">
      <c r="B281" s="48">
        <f>IF(F281&lt;&gt;"",1+MAX($B$22:B280),"")</f>
        <v>134</v>
      </c>
      <c r="C281" s="52" t="s">
        <v>268</v>
      </c>
      <c r="D281" s="8" t="s">
        <v>312</v>
      </c>
      <c r="E281" s="23" t="s">
        <v>96</v>
      </c>
      <c r="F281" s="39">
        <v>1</v>
      </c>
      <c r="G281" s="17">
        <f>1275+780</f>
        <v>2055</v>
      </c>
      <c r="H281" s="17">
        <f t="shared" si="95"/>
        <v>2260.5</v>
      </c>
      <c r="I281" s="17">
        <f t="shared" si="100"/>
        <v>2260.5</v>
      </c>
      <c r="J281" s="15">
        <f>5.366+3.08</f>
        <v>8.4459999999999997</v>
      </c>
      <c r="K281" s="10">
        <f t="shared" si="96"/>
        <v>8.4459999999999997</v>
      </c>
      <c r="L281" s="88" t="s">
        <v>397</v>
      </c>
      <c r="M281" s="89">
        <v>52.2</v>
      </c>
      <c r="N281" s="17">
        <f t="shared" si="97"/>
        <v>67.964400000000012</v>
      </c>
      <c r="O281" s="17">
        <f t="shared" si="98"/>
        <v>574.02732240000012</v>
      </c>
      <c r="P281" s="17">
        <f t="shared" si="101"/>
        <v>574.02732240000012</v>
      </c>
      <c r="Q281" s="17">
        <f t="shared" si="99"/>
        <v>2834.5273224000002</v>
      </c>
      <c r="R281" s="49"/>
    </row>
    <row r="282" spans="2:19" x14ac:dyDescent="0.25">
      <c r="B282" s="48" t="str">
        <f>IF(F282&lt;&gt;"",1+MAX($B$22:B281),"")</f>
        <v/>
      </c>
      <c r="C282" s="52"/>
      <c r="D282" s="8"/>
      <c r="E282" s="23"/>
      <c r="F282" s="39"/>
      <c r="G282" s="17"/>
      <c r="H282" s="17">
        <f t="shared" si="95"/>
        <v>0</v>
      </c>
      <c r="I282" s="17">
        <f t="shared" si="100"/>
        <v>0</v>
      </c>
      <c r="J282" s="15"/>
      <c r="K282" s="10">
        <f t="shared" si="96"/>
        <v>0</v>
      </c>
      <c r="L282" s="10"/>
      <c r="M282" s="17"/>
      <c r="N282" s="17">
        <f t="shared" si="97"/>
        <v>0</v>
      </c>
      <c r="O282" s="17">
        <f t="shared" si="98"/>
        <v>0</v>
      </c>
      <c r="P282" s="17">
        <f t="shared" si="101"/>
        <v>0</v>
      </c>
      <c r="Q282" s="17">
        <f t="shared" si="99"/>
        <v>0</v>
      </c>
      <c r="R282" s="49"/>
    </row>
    <row r="283" spans="2:19" x14ac:dyDescent="0.25">
      <c r="B283" s="67" t="str">
        <f>IF(F283&lt;&gt;"",1+MAX($B$22:B282),"")</f>
        <v/>
      </c>
      <c r="C283" s="68"/>
      <c r="D283" s="69" t="s">
        <v>105</v>
      </c>
      <c r="E283" s="23"/>
      <c r="F283" s="39"/>
      <c r="G283" s="17"/>
      <c r="H283" s="17">
        <f t="shared" si="95"/>
        <v>0</v>
      </c>
      <c r="I283" s="17">
        <f t="shared" si="100"/>
        <v>0</v>
      </c>
      <c r="J283" s="15"/>
      <c r="K283" s="10">
        <f t="shared" si="96"/>
        <v>0</v>
      </c>
      <c r="L283" s="10"/>
      <c r="M283" s="17"/>
      <c r="N283" s="17">
        <f t="shared" si="97"/>
        <v>0</v>
      </c>
      <c r="O283" s="17">
        <f t="shared" si="98"/>
        <v>0</v>
      </c>
      <c r="P283" s="17">
        <f t="shared" si="101"/>
        <v>0</v>
      </c>
      <c r="Q283" s="17">
        <f t="shared" si="99"/>
        <v>0</v>
      </c>
      <c r="R283" s="49"/>
    </row>
    <row r="284" spans="2:19" ht="27.6" x14ac:dyDescent="0.25">
      <c r="B284" s="48">
        <f>IF(F284&lt;&gt;"",1+MAX($B$22:B283),"")</f>
        <v>135</v>
      </c>
      <c r="C284" s="119" t="s">
        <v>278</v>
      </c>
      <c r="D284" s="8" t="s">
        <v>313</v>
      </c>
      <c r="E284" s="23" t="s">
        <v>96</v>
      </c>
      <c r="F284" s="39">
        <v>2</v>
      </c>
      <c r="G284" s="17">
        <v>636</v>
      </c>
      <c r="H284" s="17">
        <f t="shared" si="95"/>
        <v>699.6</v>
      </c>
      <c r="I284" s="17">
        <f t="shared" si="100"/>
        <v>1399.2</v>
      </c>
      <c r="J284" s="15">
        <v>5.473749999999999</v>
      </c>
      <c r="K284" s="10">
        <f t="shared" si="96"/>
        <v>10.947499999999998</v>
      </c>
      <c r="L284" s="88" t="s">
        <v>389</v>
      </c>
      <c r="M284" s="89">
        <v>57.65</v>
      </c>
      <c r="N284" s="17">
        <f t="shared" si="97"/>
        <v>75.060299999999998</v>
      </c>
      <c r="O284" s="17">
        <f t="shared" si="98"/>
        <v>410.86131712499991</v>
      </c>
      <c r="P284" s="17">
        <f t="shared" si="101"/>
        <v>821.72263424999983</v>
      </c>
      <c r="Q284" s="17">
        <f t="shared" si="99"/>
        <v>2220.9226342499996</v>
      </c>
      <c r="R284" s="49"/>
      <c r="S284" s="2"/>
    </row>
    <row r="285" spans="2:19" ht="27.6" x14ac:dyDescent="0.25">
      <c r="B285" s="48">
        <f>IF(F285&lt;&gt;"",1+MAX($B$22:B284),"")</f>
        <v>136</v>
      </c>
      <c r="C285" s="119"/>
      <c r="D285" s="8" t="s">
        <v>314</v>
      </c>
      <c r="E285" s="23" t="s">
        <v>96</v>
      </c>
      <c r="F285" s="39">
        <v>1</v>
      </c>
      <c r="G285" s="17">
        <v>126</v>
      </c>
      <c r="H285" s="17">
        <f t="shared" si="95"/>
        <v>138.60000000000002</v>
      </c>
      <c r="I285" s="17">
        <f t="shared" ref="I285:I287" si="102">F285*H285</f>
        <v>138.60000000000002</v>
      </c>
      <c r="J285" s="15">
        <v>0.46588789826409471</v>
      </c>
      <c r="K285" s="10">
        <f t="shared" ref="K285:K287" si="103">F285*J285</f>
        <v>0.46588789826409471</v>
      </c>
      <c r="L285" s="88" t="s">
        <v>386</v>
      </c>
      <c r="M285" s="89">
        <v>53.15</v>
      </c>
      <c r="N285" s="17">
        <f t="shared" si="97"/>
        <v>69.201300000000003</v>
      </c>
      <c r="O285" s="17">
        <f t="shared" si="98"/>
        <v>32.240048214143101</v>
      </c>
      <c r="P285" s="17">
        <f t="shared" si="101"/>
        <v>32.240048214143101</v>
      </c>
      <c r="Q285" s="17">
        <f t="shared" si="99"/>
        <v>170.84004821414311</v>
      </c>
      <c r="R285" s="49"/>
      <c r="S285" s="2"/>
    </row>
    <row r="286" spans="2:19" ht="27.6" x14ac:dyDescent="0.25">
      <c r="B286" s="48">
        <f>IF(F286&lt;&gt;"",1+MAX($B$22:B285),"")</f>
        <v>137</v>
      </c>
      <c r="C286" s="119"/>
      <c r="D286" s="8" t="s">
        <v>315</v>
      </c>
      <c r="E286" s="23" t="s">
        <v>96</v>
      </c>
      <c r="F286" s="39">
        <v>4</v>
      </c>
      <c r="G286" s="17">
        <v>384</v>
      </c>
      <c r="H286" s="17">
        <f t="shared" si="95"/>
        <v>422.40000000000003</v>
      </c>
      <c r="I286" s="17">
        <f t="shared" si="102"/>
        <v>1689.6000000000001</v>
      </c>
      <c r="J286" s="15">
        <v>1.4558996820752959</v>
      </c>
      <c r="K286" s="10">
        <f t="shared" si="103"/>
        <v>5.8235987283011834</v>
      </c>
      <c r="L286" s="88" t="s">
        <v>386</v>
      </c>
      <c r="M286" s="89">
        <v>53.15</v>
      </c>
      <c r="N286" s="17">
        <f t="shared" si="97"/>
        <v>69.201300000000003</v>
      </c>
      <c r="O286" s="17">
        <f t="shared" si="98"/>
        <v>100.75015066919718</v>
      </c>
      <c r="P286" s="17">
        <f t="shared" si="101"/>
        <v>403.00060267678873</v>
      </c>
      <c r="Q286" s="17">
        <f t="shared" si="99"/>
        <v>2092.6006026767891</v>
      </c>
      <c r="R286" s="49"/>
      <c r="S286" s="2"/>
    </row>
    <row r="287" spans="2:19" ht="27.6" x14ac:dyDescent="0.25">
      <c r="B287" s="48">
        <f>IF(F287&lt;&gt;"",1+MAX($B$22:B286),"")</f>
        <v>138</v>
      </c>
      <c r="C287" s="119"/>
      <c r="D287" s="8" t="s">
        <v>316</v>
      </c>
      <c r="E287" s="23" t="s">
        <v>96</v>
      </c>
      <c r="F287" s="39">
        <v>1</v>
      </c>
      <c r="G287" s="17">
        <v>456</v>
      </c>
      <c r="H287" s="17">
        <f t="shared" si="95"/>
        <v>501.6</v>
      </c>
      <c r="I287" s="17">
        <f t="shared" si="102"/>
        <v>501.6</v>
      </c>
      <c r="J287" s="15">
        <v>1.7470796184903552</v>
      </c>
      <c r="K287" s="10">
        <f t="shared" si="103"/>
        <v>1.7470796184903552</v>
      </c>
      <c r="L287" s="88" t="s">
        <v>386</v>
      </c>
      <c r="M287" s="89">
        <v>53.15</v>
      </c>
      <c r="N287" s="17">
        <f t="shared" si="97"/>
        <v>69.201300000000003</v>
      </c>
      <c r="O287" s="17">
        <f t="shared" si="98"/>
        <v>120.90018080303662</v>
      </c>
      <c r="P287" s="17">
        <f t="shared" si="101"/>
        <v>120.90018080303662</v>
      </c>
      <c r="Q287" s="17">
        <f t="shared" si="99"/>
        <v>622.50018080303664</v>
      </c>
      <c r="R287" s="49"/>
      <c r="S287" s="2"/>
    </row>
    <row r="288" spans="2:19" ht="27.6" x14ac:dyDescent="0.25">
      <c r="B288" s="48">
        <f>IF(F288&lt;&gt;"",1+MAX($B$22:B287),"")</f>
        <v>139</v>
      </c>
      <c r="C288" s="119"/>
      <c r="D288" s="8" t="s">
        <v>317</v>
      </c>
      <c r="E288" s="23" t="s">
        <v>96</v>
      </c>
      <c r="F288" s="39">
        <v>2</v>
      </c>
      <c r="G288" s="17">
        <v>294</v>
      </c>
      <c r="H288" s="17">
        <f t="shared" si="95"/>
        <v>323.40000000000003</v>
      </c>
      <c r="I288" s="17">
        <f t="shared" si="100"/>
        <v>646.80000000000007</v>
      </c>
      <c r="J288" s="15">
        <v>2.1894999999999998</v>
      </c>
      <c r="K288" s="10">
        <f t="shared" si="96"/>
        <v>4.3789999999999996</v>
      </c>
      <c r="L288" s="88" t="s">
        <v>389</v>
      </c>
      <c r="M288" s="89">
        <v>57.65</v>
      </c>
      <c r="N288" s="17">
        <f t="shared" si="97"/>
        <v>75.060299999999998</v>
      </c>
      <c r="O288" s="17">
        <f t="shared" si="98"/>
        <v>164.34452684999997</v>
      </c>
      <c r="P288" s="17">
        <f t="shared" si="101"/>
        <v>328.68905369999993</v>
      </c>
      <c r="Q288" s="17">
        <f t="shared" si="99"/>
        <v>975.4890537</v>
      </c>
      <c r="R288" s="49"/>
      <c r="S288" s="2"/>
    </row>
    <row r="289" spans="2:19" ht="27.6" x14ac:dyDescent="0.25">
      <c r="B289" s="48">
        <f>IF(F289&lt;&gt;"",1+MAX($B$22:B288),"")</f>
        <v>140</v>
      </c>
      <c r="C289" s="119"/>
      <c r="D289" s="8" t="s">
        <v>318</v>
      </c>
      <c r="E289" s="23" t="s">
        <v>96</v>
      </c>
      <c r="F289" s="39">
        <v>6</v>
      </c>
      <c r="G289" s="17">
        <v>318</v>
      </c>
      <c r="H289" s="17">
        <f t="shared" si="95"/>
        <v>349.8</v>
      </c>
      <c r="I289" s="17">
        <f t="shared" si="100"/>
        <v>2098.8000000000002</v>
      </c>
      <c r="J289" s="15">
        <v>2.7368749999999995</v>
      </c>
      <c r="K289" s="10">
        <f t="shared" si="96"/>
        <v>16.421249999999997</v>
      </c>
      <c r="L289" s="88" t="s">
        <v>389</v>
      </c>
      <c r="M289" s="89">
        <v>57.65</v>
      </c>
      <c r="N289" s="17">
        <f t="shared" si="97"/>
        <v>75.060299999999998</v>
      </c>
      <c r="O289" s="17">
        <f t="shared" si="98"/>
        <v>205.43065856249996</v>
      </c>
      <c r="P289" s="17">
        <f t="shared" si="101"/>
        <v>1232.5839513749997</v>
      </c>
      <c r="Q289" s="17">
        <f t="shared" si="99"/>
        <v>3331.3839513749999</v>
      </c>
      <c r="R289" s="49"/>
      <c r="S289" s="2"/>
    </row>
    <row r="290" spans="2:19" ht="27.6" x14ac:dyDescent="0.25">
      <c r="B290" s="48">
        <f>IF(F290&lt;&gt;"",1+MAX($B$22:B289),"")</f>
        <v>141</v>
      </c>
      <c r="C290" s="119"/>
      <c r="D290" s="8" t="s">
        <v>319</v>
      </c>
      <c r="E290" s="23" t="s">
        <v>96</v>
      </c>
      <c r="F290" s="39">
        <v>1</v>
      </c>
      <c r="G290" s="17">
        <v>426</v>
      </c>
      <c r="H290" s="17">
        <f t="shared" si="95"/>
        <v>468.6</v>
      </c>
      <c r="I290" s="17">
        <f t="shared" si="100"/>
        <v>468.6</v>
      </c>
      <c r="J290" s="15">
        <v>3.649166666666666</v>
      </c>
      <c r="K290" s="10">
        <f t="shared" si="96"/>
        <v>3.649166666666666</v>
      </c>
      <c r="L290" s="88" t="s">
        <v>389</v>
      </c>
      <c r="M290" s="89">
        <v>57.65</v>
      </c>
      <c r="N290" s="17">
        <f t="shared" si="97"/>
        <v>75.060299999999998</v>
      </c>
      <c r="O290" s="17">
        <f t="shared" si="98"/>
        <v>273.90754474999994</v>
      </c>
      <c r="P290" s="17">
        <f t="shared" si="101"/>
        <v>273.90754474999994</v>
      </c>
      <c r="Q290" s="17">
        <f t="shared" si="99"/>
        <v>742.50754474999997</v>
      </c>
      <c r="R290" s="49"/>
      <c r="S290" s="2"/>
    </row>
    <row r="291" spans="2:19" ht="27.6" x14ac:dyDescent="0.25">
      <c r="B291" s="48">
        <f>IF(F291&lt;&gt;"",1+MAX($B$22:B290),"")</f>
        <v>142</v>
      </c>
      <c r="C291" s="119"/>
      <c r="D291" s="8" t="s">
        <v>320</v>
      </c>
      <c r="E291" s="23" t="s">
        <v>96</v>
      </c>
      <c r="F291" s="39">
        <v>4</v>
      </c>
      <c r="G291" s="17">
        <v>384</v>
      </c>
      <c r="H291" s="17">
        <f t="shared" si="95"/>
        <v>422.40000000000003</v>
      </c>
      <c r="I291" s="17">
        <f t="shared" si="100"/>
        <v>1689.6000000000001</v>
      </c>
      <c r="J291" s="15">
        <v>3.2842499999999997</v>
      </c>
      <c r="K291" s="10">
        <f t="shared" si="96"/>
        <v>13.136999999999999</v>
      </c>
      <c r="L291" s="88" t="s">
        <v>389</v>
      </c>
      <c r="M291" s="89">
        <v>57.65</v>
      </c>
      <c r="N291" s="17">
        <f t="shared" si="97"/>
        <v>75.060299999999998</v>
      </c>
      <c r="O291" s="17">
        <f t="shared" si="98"/>
        <v>246.51679027499998</v>
      </c>
      <c r="P291" s="17">
        <f t="shared" si="101"/>
        <v>986.06716109999991</v>
      </c>
      <c r="Q291" s="17">
        <f t="shared" si="99"/>
        <v>2675.6671611000002</v>
      </c>
      <c r="R291" s="49"/>
      <c r="S291" s="2"/>
    </row>
    <row r="292" spans="2:19" ht="27.6" x14ac:dyDescent="0.25">
      <c r="B292" s="48">
        <f>IF(F292&lt;&gt;"",1+MAX($B$22:B291),"")</f>
        <v>143</v>
      </c>
      <c r="C292" s="119"/>
      <c r="D292" s="8" t="s">
        <v>321</v>
      </c>
      <c r="E292" s="23" t="s">
        <v>96</v>
      </c>
      <c r="F292" s="39">
        <v>1</v>
      </c>
      <c r="G292" s="17">
        <v>798</v>
      </c>
      <c r="H292" s="17">
        <f t="shared" si="95"/>
        <v>877.80000000000007</v>
      </c>
      <c r="I292" s="17">
        <f t="shared" si="100"/>
        <v>877.80000000000007</v>
      </c>
      <c r="J292" s="15">
        <v>6.8421874999999988</v>
      </c>
      <c r="K292" s="10">
        <f t="shared" si="96"/>
        <v>6.8421874999999988</v>
      </c>
      <c r="L292" s="88" t="s">
        <v>389</v>
      </c>
      <c r="M292" s="89">
        <v>57.65</v>
      </c>
      <c r="N292" s="17">
        <f t="shared" si="97"/>
        <v>75.060299999999998</v>
      </c>
      <c r="O292" s="17">
        <f t="shared" si="98"/>
        <v>513.57664640624989</v>
      </c>
      <c r="P292" s="17">
        <f t="shared" si="101"/>
        <v>513.57664640624989</v>
      </c>
      <c r="Q292" s="17">
        <f t="shared" si="99"/>
        <v>1391.3766464062501</v>
      </c>
      <c r="R292" s="49"/>
      <c r="S292" s="2"/>
    </row>
    <row r="293" spans="2:19" ht="41.4" x14ac:dyDescent="0.25">
      <c r="B293" s="48" t="str">
        <f>IF(F293&lt;&gt;"",1+MAX($B$22:B292),"")</f>
        <v/>
      </c>
      <c r="C293" s="52"/>
      <c r="D293" s="8" t="s">
        <v>322</v>
      </c>
      <c r="E293" s="23"/>
      <c r="F293" s="39"/>
      <c r="G293" s="17">
        <f>290/(3.916*2.916)*S293*T293</f>
        <v>0</v>
      </c>
      <c r="H293" s="17">
        <f t="shared" si="95"/>
        <v>0</v>
      </c>
      <c r="I293" s="17">
        <f t="shared" si="100"/>
        <v>0</v>
      </c>
      <c r="J293" s="15">
        <f>1.33/(3.916*2.916)*S293*T293</f>
        <v>0</v>
      </c>
      <c r="K293" s="10">
        <f t="shared" si="96"/>
        <v>0</v>
      </c>
      <c r="L293" s="88"/>
      <c r="M293" s="89"/>
      <c r="N293" s="17">
        <f t="shared" si="97"/>
        <v>0</v>
      </c>
      <c r="O293" s="17">
        <f t="shared" si="98"/>
        <v>0</v>
      </c>
      <c r="P293" s="17">
        <f t="shared" si="101"/>
        <v>0</v>
      </c>
      <c r="Q293" s="17">
        <f t="shared" si="99"/>
        <v>0</v>
      </c>
      <c r="R293" s="49"/>
    </row>
    <row r="294" spans="2:19" x14ac:dyDescent="0.25">
      <c r="B294" s="48" t="str">
        <f>IF(F294&lt;&gt;"",1+MAX($B$22:B293),"")</f>
        <v/>
      </c>
      <c r="C294" s="52"/>
      <c r="D294" s="8"/>
      <c r="E294" s="23"/>
      <c r="F294" s="39"/>
      <c r="G294" s="17"/>
      <c r="H294" s="17">
        <f t="shared" si="95"/>
        <v>0</v>
      </c>
      <c r="I294" s="17">
        <f t="shared" si="100"/>
        <v>0</v>
      </c>
      <c r="J294" s="15"/>
      <c r="K294" s="10">
        <f t="shared" si="96"/>
        <v>0</v>
      </c>
      <c r="L294" s="10"/>
      <c r="M294" s="17"/>
      <c r="N294" s="17">
        <f t="shared" si="97"/>
        <v>0</v>
      </c>
      <c r="O294" s="17">
        <f t="shared" si="98"/>
        <v>0</v>
      </c>
      <c r="P294" s="17">
        <f t="shared" si="101"/>
        <v>0</v>
      </c>
      <c r="Q294" s="17">
        <f t="shared" si="99"/>
        <v>0</v>
      </c>
      <c r="R294" s="49"/>
      <c r="S294" s="12"/>
    </row>
    <row r="295" spans="2:19" s="12" customFormat="1" ht="12.75" customHeight="1" x14ac:dyDescent="0.25">
      <c r="B295" s="13" t="str">
        <f>IF(F295&lt;&gt;"",1+MAX($B$22:B294),"")</f>
        <v/>
      </c>
      <c r="C295" s="13" t="s">
        <v>49</v>
      </c>
      <c r="D295" s="6" t="s">
        <v>15</v>
      </c>
      <c r="E295" s="121" t="s">
        <v>61</v>
      </c>
      <c r="F295" s="121"/>
      <c r="G295" s="121"/>
      <c r="H295" s="53">
        <f>SUM(I296:I355)</f>
        <v>15258.761032900002</v>
      </c>
      <c r="I295" s="7">
        <f t="shared" ref="I295:I321" si="104">F295*H295</f>
        <v>0</v>
      </c>
      <c r="J295" s="7"/>
      <c r="K295" s="122" t="s">
        <v>62</v>
      </c>
      <c r="L295" s="122"/>
      <c r="M295" s="122"/>
      <c r="N295" s="122"/>
      <c r="O295" s="53">
        <f>SUM(P296:P355)</f>
        <v>30515.243989985167</v>
      </c>
      <c r="P295" s="7">
        <f t="shared" ref="P295:P321" si="105">F295*O295</f>
        <v>0</v>
      </c>
      <c r="Q295" s="47">
        <f>SUM(Q296:Q355)</f>
        <v>45774.005022885161</v>
      </c>
      <c r="R295" s="47">
        <f>(Q295)+(H295*$Q$8)+(O295*$Q$9)+(Q295*$Q$10)+($Q$11*((Q295)+(H295*$Q$8)+(O295*$Q$9)+(Q295*$Q$10)))+(Q295*$Q$12)</f>
        <v>65067.369400349482</v>
      </c>
    </row>
    <row r="296" spans="2:19" x14ac:dyDescent="0.25">
      <c r="B296" s="48" t="str">
        <f>IF(F296&lt;&gt;"",1+MAX($B$22:B295),"")</f>
        <v/>
      </c>
      <c r="C296" s="52"/>
      <c r="D296" s="8"/>
      <c r="E296" s="23"/>
      <c r="F296" s="39"/>
      <c r="G296" s="17"/>
      <c r="H296" s="17">
        <f t="shared" ref="H296:H355" si="106">G296*$T$2</f>
        <v>0</v>
      </c>
      <c r="I296" s="17">
        <f t="shared" si="104"/>
        <v>0</v>
      </c>
      <c r="J296" s="15"/>
      <c r="K296" s="10">
        <f t="shared" ref="K296:K355" si="107">F296*J296</f>
        <v>0</v>
      </c>
      <c r="L296" s="10"/>
      <c r="M296" s="17"/>
      <c r="N296" s="17">
        <f t="shared" ref="N296:N355" si="108">M296*$U$2</f>
        <v>0</v>
      </c>
      <c r="O296" s="17">
        <f t="shared" ref="O296:O355" si="109">J296*N296</f>
        <v>0</v>
      </c>
      <c r="P296" s="17">
        <f t="shared" si="105"/>
        <v>0</v>
      </c>
      <c r="Q296" s="17">
        <f t="shared" ref="Q296:Q355" si="110">I296+P296</f>
        <v>0</v>
      </c>
      <c r="R296" s="49"/>
      <c r="S296" s="12"/>
    </row>
    <row r="297" spans="2:19" x14ac:dyDescent="0.25">
      <c r="B297" s="67" t="str">
        <f>IF(F297&lt;&gt;"",1+MAX($B$22:B296),"")</f>
        <v/>
      </c>
      <c r="C297" s="68"/>
      <c r="D297" s="69" t="s">
        <v>106</v>
      </c>
      <c r="E297" s="23"/>
      <c r="F297" s="39"/>
      <c r="G297" s="17"/>
      <c r="H297" s="17">
        <f t="shared" si="106"/>
        <v>0</v>
      </c>
      <c r="I297" s="17">
        <f t="shared" si="104"/>
        <v>0</v>
      </c>
      <c r="J297" s="15"/>
      <c r="K297" s="10">
        <f t="shared" si="107"/>
        <v>0</v>
      </c>
      <c r="L297" s="10"/>
      <c r="M297" s="17"/>
      <c r="N297" s="17">
        <f t="shared" si="108"/>
        <v>0</v>
      </c>
      <c r="O297" s="17">
        <f t="shared" si="109"/>
        <v>0</v>
      </c>
      <c r="P297" s="17">
        <f t="shared" si="105"/>
        <v>0</v>
      </c>
      <c r="Q297" s="17">
        <f t="shared" si="110"/>
        <v>0</v>
      </c>
      <c r="R297" s="49"/>
    </row>
    <row r="298" spans="2:19" x14ac:dyDescent="0.25">
      <c r="B298" s="48">
        <f>IF(F298&lt;&gt;"",1+MAX($B$22:B297),"")</f>
        <v>144</v>
      </c>
      <c r="C298" s="119" t="s">
        <v>325</v>
      </c>
      <c r="D298" s="8" t="s">
        <v>326</v>
      </c>
      <c r="E298" s="23" t="s">
        <v>73</v>
      </c>
      <c r="F298" s="39">
        <v>683.69</v>
      </c>
      <c r="G298" s="17">
        <v>3.9899999999999998</v>
      </c>
      <c r="H298" s="17">
        <f t="shared" si="106"/>
        <v>4.3890000000000002</v>
      </c>
      <c r="I298" s="17">
        <f t="shared" si="104"/>
        <v>3000.7154100000002</v>
      </c>
      <c r="J298" s="15">
        <v>2.5999999999999999E-2</v>
      </c>
      <c r="K298" s="10">
        <f t="shared" si="107"/>
        <v>17.775940000000002</v>
      </c>
      <c r="L298" s="88" t="s">
        <v>398</v>
      </c>
      <c r="M298" s="89">
        <v>49.5</v>
      </c>
      <c r="N298" s="17">
        <f t="shared" si="108"/>
        <v>64.448999999999998</v>
      </c>
      <c r="O298" s="17">
        <f t="shared" si="109"/>
        <v>1.6756739999999999</v>
      </c>
      <c r="P298" s="17">
        <f t="shared" si="105"/>
        <v>1145.64155706</v>
      </c>
      <c r="Q298" s="17">
        <f t="shared" si="110"/>
        <v>4146.35696706</v>
      </c>
      <c r="R298" s="49"/>
    </row>
    <row r="299" spans="2:19" x14ac:dyDescent="0.25">
      <c r="B299" s="48">
        <f>IF(F299&lt;&gt;"",1+MAX($B$22:B298),"")</f>
        <v>145</v>
      </c>
      <c r="C299" s="119"/>
      <c r="D299" s="8" t="s">
        <v>327</v>
      </c>
      <c r="E299" s="23" t="s">
        <v>73</v>
      </c>
      <c r="F299" s="39">
        <v>545.95000000000005</v>
      </c>
      <c r="G299" s="17">
        <v>3.54</v>
      </c>
      <c r="H299" s="17">
        <f t="shared" si="106"/>
        <v>3.8940000000000006</v>
      </c>
      <c r="I299" s="17">
        <f t="shared" si="104"/>
        <v>2125.9293000000007</v>
      </c>
      <c r="J299" s="15">
        <v>0.107</v>
      </c>
      <c r="K299" s="10">
        <f t="shared" si="107"/>
        <v>58.416650000000004</v>
      </c>
      <c r="L299" s="88" t="s">
        <v>399</v>
      </c>
      <c r="M299" s="89">
        <v>44.86</v>
      </c>
      <c r="N299" s="17">
        <f t="shared" si="108"/>
        <v>58.407720000000005</v>
      </c>
      <c r="O299" s="17">
        <f t="shared" si="109"/>
        <v>6.2496260400000008</v>
      </c>
      <c r="P299" s="17">
        <f t="shared" si="105"/>
        <v>3411.9833365380009</v>
      </c>
      <c r="Q299" s="17">
        <f t="shared" si="110"/>
        <v>5537.9126365380016</v>
      </c>
      <c r="R299" s="49"/>
    </row>
    <row r="300" spans="2:19" x14ac:dyDescent="0.25">
      <c r="B300" s="48" t="str">
        <f>IF(F300&lt;&gt;"",1+MAX($B$22:B299),"")</f>
        <v/>
      </c>
      <c r="C300" s="119"/>
      <c r="D300" s="51"/>
      <c r="E300" s="23"/>
      <c r="F300" s="39"/>
      <c r="G300" s="17"/>
      <c r="H300" s="17">
        <f t="shared" si="106"/>
        <v>0</v>
      </c>
      <c r="I300" s="17">
        <f t="shared" si="104"/>
        <v>0</v>
      </c>
      <c r="J300" s="15"/>
      <c r="K300" s="10">
        <f t="shared" si="107"/>
        <v>0</v>
      </c>
      <c r="L300" s="10"/>
      <c r="M300" s="17"/>
      <c r="N300" s="17">
        <f t="shared" si="108"/>
        <v>0</v>
      </c>
      <c r="O300" s="17">
        <f t="shared" si="109"/>
        <v>0</v>
      </c>
      <c r="P300" s="17">
        <f t="shared" si="105"/>
        <v>0</v>
      </c>
      <c r="Q300" s="17">
        <f t="shared" si="110"/>
        <v>0</v>
      </c>
      <c r="R300" s="49"/>
    </row>
    <row r="301" spans="2:19" x14ac:dyDescent="0.25">
      <c r="B301" s="48" t="str">
        <f>IF(F301&lt;&gt;"",1+MAX($B$22:B300),"")</f>
        <v/>
      </c>
      <c r="C301" s="119"/>
      <c r="D301" s="51" t="s">
        <v>107</v>
      </c>
      <c r="E301" s="23"/>
      <c r="F301" s="39"/>
      <c r="G301" s="17"/>
      <c r="H301" s="17">
        <f t="shared" si="106"/>
        <v>0</v>
      </c>
      <c r="I301" s="17">
        <f t="shared" si="104"/>
        <v>0</v>
      </c>
      <c r="J301" s="15"/>
      <c r="K301" s="10">
        <f t="shared" si="107"/>
        <v>0</v>
      </c>
      <c r="L301" s="10"/>
      <c r="M301" s="17"/>
      <c r="N301" s="17">
        <f t="shared" si="108"/>
        <v>0</v>
      </c>
      <c r="O301" s="17">
        <f t="shared" si="109"/>
        <v>0</v>
      </c>
      <c r="P301" s="17">
        <f t="shared" si="105"/>
        <v>0</v>
      </c>
      <c r="Q301" s="17">
        <f t="shared" si="110"/>
        <v>0</v>
      </c>
      <c r="R301" s="49"/>
    </row>
    <row r="302" spans="2:19" x14ac:dyDescent="0.25">
      <c r="B302" s="48">
        <f>IF(F302&lt;&gt;"",1+MAX($B$22:B301),"")</f>
        <v>146</v>
      </c>
      <c r="C302" s="119"/>
      <c r="D302" s="8" t="s">
        <v>328</v>
      </c>
      <c r="E302" s="23" t="s">
        <v>78</v>
      </c>
      <c r="F302" s="39">
        <v>230.75</v>
      </c>
      <c r="G302" s="17">
        <v>2.86</v>
      </c>
      <c r="H302" s="17">
        <f t="shared" si="106"/>
        <v>3.1459999999999999</v>
      </c>
      <c r="I302" s="17">
        <f t="shared" si="104"/>
        <v>725.93949999999995</v>
      </c>
      <c r="J302" s="15">
        <v>3.7171717171717175E-2</v>
      </c>
      <c r="K302" s="10">
        <f t="shared" si="107"/>
        <v>8.5773737373737386</v>
      </c>
      <c r="L302" s="88" t="s">
        <v>380</v>
      </c>
      <c r="M302" s="89">
        <v>49.5</v>
      </c>
      <c r="N302" s="17">
        <f t="shared" si="108"/>
        <v>64.448999999999998</v>
      </c>
      <c r="O302" s="17">
        <f t="shared" si="109"/>
        <v>2.39568</v>
      </c>
      <c r="P302" s="17">
        <f t="shared" si="105"/>
        <v>552.80316000000005</v>
      </c>
      <c r="Q302" s="17">
        <f t="shared" si="110"/>
        <v>1278.7426599999999</v>
      </c>
      <c r="R302" s="49"/>
    </row>
    <row r="303" spans="2:19" x14ac:dyDescent="0.25">
      <c r="B303" s="48">
        <f>IF(F303&lt;&gt;"",1+MAX($B$22:B302),"")</f>
        <v>147</v>
      </c>
      <c r="C303" s="119"/>
      <c r="D303" s="8" t="s">
        <v>337</v>
      </c>
      <c r="E303" s="23" t="s">
        <v>78</v>
      </c>
      <c r="F303" s="39">
        <v>70</v>
      </c>
      <c r="G303" s="17">
        <v>2.86</v>
      </c>
      <c r="H303" s="17">
        <f t="shared" si="106"/>
        <v>3.1459999999999999</v>
      </c>
      <c r="I303" s="17">
        <f t="shared" si="104"/>
        <v>220.22</v>
      </c>
      <c r="J303" s="15">
        <v>3.7171717171717175E-2</v>
      </c>
      <c r="K303" s="10">
        <f t="shared" si="107"/>
        <v>2.6020202020202023</v>
      </c>
      <c r="L303" s="88" t="s">
        <v>380</v>
      </c>
      <c r="M303" s="89">
        <v>49.5</v>
      </c>
      <c r="N303" s="17">
        <f t="shared" si="108"/>
        <v>64.448999999999998</v>
      </c>
      <c r="O303" s="17">
        <f t="shared" si="109"/>
        <v>2.39568</v>
      </c>
      <c r="P303" s="17">
        <f t="shared" si="105"/>
        <v>167.69759999999999</v>
      </c>
      <c r="Q303" s="17">
        <f t="shared" si="110"/>
        <v>387.91759999999999</v>
      </c>
      <c r="R303" s="49"/>
    </row>
    <row r="304" spans="2:19" x14ac:dyDescent="0.25">
      <c r="B304" s="48" t="str">
        <f>IF(F304&lt;&gt;"",1+MAX($B$22:B303),"")</f>
        <v/>
      </c>
      <c r="C304" s="52"/>
      <c r="D304" s="8"/>
      <c r="E304" s="23"/>
      <c r="F304" s="39"/>
      <c r="G304" s="17"/>
      <c r="H304" s="17">
        <f t="shared" si="106"/>
        <v>0</v>
      </c>
      <c r="I304" s="17">
        <f t="shared" si="104"/>
        <v>0</v>
      </c>
      <c r="J304" s="15"/>
      <c r="K304" s="10">
        <f t="shared" si="107"/>
        <v>0</v>
      </c>
      <c r="L304" s="10"/>
      <c r="M304" s="17"/>
      <c r="N304" s="17">
        <f t="shared" si="108"/>
        <v>0</v>
      </c>
      <c r="O304" s="17">
        <f t="shared" si="109"/>
        <v>0</v>
      </c>
      <c r="P304" s="17">
        <f t="shared" si="105"/>
        <v>0</v>
      </c>
      <c r="Q304" s="17">
        <f t="shared" si="110"/>
        <v>0</v>
      </c>
      <c r="R304" s="49"/>
    </row>
    <row r="305" spans="2:18" x14ac:dyDescent="0.25">
      <c r="B305" s="67" t="str">
        <f>IF(F305&lt;&gt;"",1+MAX($B$22:B304),"")</f>
        <v/>
      </c>
      <c r="C305" s="68"/>
      <c r="D305" s="69" t="s">
        <v>108</v>
      </c>
      <c r="E305" s="23"/>
      <c r="F305" s="39"/>
      <c r="G305" s="17"/>
      <c r="H305" s="17">
        <f t="shared" si="106"/>
        <v>0</v>
      </c>
      <c r="I305" s="17">
        <f t="shared" si="104"/>
        <v>0</v>
      </c>
      <c r="J305" s="15"/>
      <c r="K305" s="10">
        <f t="shared" si="107"/>
        <v>0</v>
      </c>
      <c r="L305" s="10"/>
      <c r="M305" s="17"/>
      <c r="N305" s="17">
        <f t="shared" si="108"/>
        <v>0</v>
      </c>
      <c r="O305" s="17">
        <f t="shared" si="109"/>
        <v>0</v>
      </c>
      <c r="P305" s="17">
        <f t="shared" si="105"/>
        <v>0</v>
      </c>
      <c r="Q305" s="17">
        <f t="shared" si="110"/>
        <v>0</v>
      </c>
      <c r="R305" s="49"/>
    </row>
    <row r="306" spans="2:18" x14ac:dyDescent="0.25">
      <c r="B306" s="48" t="str">
        <f>IF(F306&lt;&gt;"",1+MAX($B$22:B305),"")</f>
        <v/>
      </c>
      <c r="C306" s="52"/>
      <c r="D306" s="51"/>
      <c r="E306" s="23"/>
      <c r="F306" s="39"/>
      <c r="G306" s="17"/>
      <c r="H306" s="17">
        <f t="shared" si="106"/>
        <v>0</v>
      </c>
      <c r="I306" s="17">
        <f t="shared" si="104"/>
        <v>0</v>
      </c>
      <c r="J306" s="15"/>
      <c r="K306" s="10">
        <f t="shared" si="107"/>
        <v>0</v>
      </c>
      <c r="L306" s="10"/>
      <c r="M306" s="17"/>
      <c r="N306" s="17">
        <f t="shared" si="108"/>
        <v>0</v>
      </c>
      <c r="O306" s="17">
        <f t="shared" si="109"/>
        <v>0</v>
      </c>
      <c r="P306" s="17">
        <f t="shared" si="105"/>
        <v>0</v>
      </c>
      <c r="Q306" s="17">
        <f t="shared" si="110"/>
        <v>0</v>
      </c>
      <c r="R306" s="49"/>
    </row>
    <row r="307" spans="2:18" x14ac:dyDescent="0.25">
      <c r="B307" s="48" t="str">
        <f>IF(F307&lt;&gt;"",1+MAX($B$22:B306),"")</f>
        <v/>
      </c>
      <c r="C307" s="52"/>
      <c r="D307" s="51" t="s">
        <v>109</v>
      </c>
      <c r="E307" s="23"/>
      <c r="F307" s="39"/>
      <c r="G307" s="17"/>
      <c r="H307" s="17">
        <f t="shared" si="106"/>
        <v>0</v>
      </c>
      <c r="I307" s="17">
        <f t="shared" si="104"/>
        <v>0</v>
      </c>
      <c r="J307" s="15"/>
      <c r="K307" s="10">
        <f t="shared" si="107"/>
        <v>0</v>
      </c>
      <c r="L307" s="10"/>
      <c r="M307" s="17"/>
      <c r="N307" s="17">
        <f t="shared" si="108"/>
        <v>0</v>
      </c>
      <c r="O307" s="17">
        <f t="shared" si="109"/>
        <v>0</v>
      </c>
      <c r="P307" s="17">
        <f t="shared" si="105"/>
        <v>0</v>
      </c>
      <c r="Q307" s="17">
        <f t="shared" si="110"/>
        <v>0</v>
      </c>
      <c r="R307" s="49"/>
    </row>
    <row r="308" spans="2:18" x14ac:dyDescent="0.25">
      <c r="B308" s="48">
        <f>IF(F308&lt;&gt;"",1+MAX($B$22:B307),"")</f>
        <v>148</v>
      </c>
      <c r="C308" s="119" t="s">
        <v>278</v>
      </c>
      <c r="D308" s="8" t="s">
        <v>329</v>
      </c>
      <c r="E308" s="23" t="s">
        <v>73</v>
      </c>
      <c r="F308" s="39">
        <f>77*9</f>
        <v>693</v>
      </c>
      <c r="G308" s="17">
        <v>1.1200000000000001</v>
      </c>
      <c r="H308" s="17">
        <f t="shared" si="106"/>
        <v>1.2320000000000002</v>
      </c>
      <c r="I308" s="17">
        <f t="shared" si="104"/>
        <v>853.77600000000018</v>
      </c>
      <c r="J308" s="15">
        <v>3.6999999999999998E-2</v>
      </c>
      <c r="K308" s="10">
        <f t="shared" si="107"/>
        <v>25.640999999999998</v>
      </c>
      <c r="L308" s="88" t="s">
        <v>386</v>
      </c>
      <c r="M308" s="89">
        <v>53.15</v>
      </c>
      <c r="N308" s="17">
        <f t="shared" si="108"/>
        <v>69.201300000000003</v>
      </c>
      <c r="O308" s="17">
        <f t="shared" si="109"/>
        <v>2.5604480999999999</v>
      </c>
      <c r="P308" s="17">
        <f t="shared" si="105"/>
        <v>1774.3905333</v>
      </c>
      <c r="Q308" s="17">
        <f t="shared" si="110"/>
        <v>2628.1665333000001</v>
      </c>
      <c r="R308" s="49"/>
    </row>
    <row r="309" spans="2:18" x14ac:dyDescent="0.25">
      <c r="B309" s="48">
        <f>IF(F309&lt;&gt;"",1+MAX($B$22:B308),"")</f>
        <v>149</v>
      </c>
      <c r="C309" s="119"/>
      <c r="D309" s="74" t="s">
        <v>110</v>
      </c>
      <c r="E309" s="23" t="s">
        <v>96</v>
      </c>
      <c r="F309" s="39">
        <f>F308/32</f>
        <v>21.65625</v>
      </c>
      <c r="G309" s="85"/>
      <c r="H309" s="85">
        <f t="shared" si="106"/>
        <v>0</v>
      </c>
      <c r="I309" s="85">
        <f t="shared" si="104"/>
        <v>0</v>
      </c>
      <c r="J309" s="86"/>
      <c r="K309" s="87">
        <f t="shared" si="107"/>
        <v>0</v>
      </c>
      <c r="L309" s="87"/>
      <c r="M309" s="85"/>
      <c r="N309" s="85">
        <f t="shared" si="108"/>
        <v>0</v>
      </c>
      <c r="O309" s="85">
        <f t="shared" si="109"/>
        <v>0</v>
      </c>
      <c r="P309" s="85">
        <f t="shared" si="105"/>
        <v>0</v>
      </c>
      <c r="Q309" s="85">
        <f t="shared" si="110"/>
        <v>0</v>
      </c>
      <c r="R309" s="49"/>
    </row>
    <row r="310" spans="2:18" x14ac:dyDescent="0.25">
      <c r="B310" s="48">
        <f>IF(F310&lt;&gt;"",1+MAX($B$22:B309),"")</f>
        <v>150</v>
      </c>
      <c r="C310" s="119"/>
      <c r="D310" s="74" t="s">
        <v>111</v>
      </c>
      <c r="E310" s="23" t="s">
        <v>112</v>
      </c>
      <c r="F310" s="39">
        <f>F308*0.031</f>
        <v>21.483000000000001</v>
      </c>
      <c r="G310" s="85"/>
      <c r="H310" s="85">
        <f t="shared" si="106"/>
        <v>0</v>
      </c>
      <c r="I310" s="85">
        <f t="shared" si="104"/>
        <v>0</v>
      </c>
      <c r="J310" s="86"/>
      <c r="K310" s="87">
        <f t="shared" si="107"/>
        <v>0</v>
      </c>
      <c r="L310" s="87"/>
      <c r="M310" s="85"/>
      <c r="N310" s="85">
        <f t="shared" si="108"/>
        <v>0</v>
      </c>
      <c r="O310" s="85">
        <f t="shared" si="109"/>
        <v>0</v>
      </c>
      <c r="P310" s="85">
        <f t="shared" si="105"/>
        <v>0</v>
      </c>
      <c r="Q310" s="85">
        <f t="shared" si="110"/>
        <v>0</v>
      </c>
      <c r="R310" s="49"/>
    </row>
    <row r="311" spans="2:18" x14ac:dyDescent="0.25">
      <c r="B311" s="48">
        <f>IF(F311&lt;&gt;"",1+MAX($B$22:B310),"")</f>
        <v>151</v>
      </c>
      <c r="C311" s="119"/>
      <c r="D311" s="74" t="s">
        <v>156</v>
      </c>
      <c r="E311" s="23" t="s">
        <v>113</v>
      </c>
      <c r="F311" s="39">
        <f>F309*12/500</f>
        <v>0.51975000000000005</v>
      </c>
      <c r="G311" s="85"/>
      <c r="H311" s="85">
        <f t="shared" si="106"/>
        <v>0</v>
      </c>
      <c r="I311" s="85">
        <f t="shared" si="104"/>
        <v>0</v>
      </c>
      <c r="J311" s="86"/>
      <c r="K311" s="87">
        <f t="shared" si="107"/>
        <v>0</v>
      </c>
      <c r="L311" s="87"/>
      <c r="M311" s="85"/>
      <c r="N311" s="85">
        <f t="shared" si="108"/>
        <v>0</v>
      </c>
      <c r="O311" s="85">
        <f t="shared" si="109"/>
        <v>0</v>
      </c>
      <c r="P311" s="85">
        <f t="shared" si="105"/>
        <v>0</v>
      </c>
      <c r="Q311" s="85">
        <f t="shared" si="110"/>
        <v>0</v>
      </c>
      <c r="R311" s="49"/>
    </row>
    <row r="312" spans="2:18" x14ac:dyDescent="0.25">
      <c r="B312" s="48">
        <f>IF(F312&lt;&gt;"",1+MAX($B$22:B311),"")</f>
        <v>152</v>
      </c>
      <c r="C312" s="119"/>
      <c r="D312" s="74" t="s">
        <v>114</v>
      </c>
      <c r="E312" s="23" t="s">
        <v>115</v>
      </c>
      <c r="F312" s="39">
        <f>F309*48/280</f>
        <v>3.7124999999999999</v>
      </c>
      <c r="G312" s="85"/>
      <c r="H312" s="85">
        <f t="shared" si="106"/>
        <v>0</v>
      </c>
      <c r="I312" s="85">
        <f t="shared" si="104"/>
        <v>0</v>
      </c>
      <c r="J312" s="86"/>
      <c r="K312" s="87">
        <f t="shared" si="107"/>
        <v>0</v>
      </c>
      <c r="L312" s="87"/>
      <c r="M312" s="85"/>
      <c r="N312" s="85">
        <f t="shared" si="108"/>
        <v>0</v>
      </c>
      <c r="O312" s="85">
        <f t="shared" si="109"/>
        <v>0</v>
      </c>
      <c r="P312" s="85">
        <f t="shared" si="105"/>
        <v>0</v>
      </c>
      <c r="Q312" s="85">
        <f t="shared" si="110"/>
        <v>0</v>
      </c>
      <c r="R312" s="49"/>
    </row>
    <row r="313" spans="2:18" x14ac:dyDescent="0.25">
      <c r="B313" s="48">
        <f>IF(F313&lt;&gt;"",1+MAX($B$22:B312),"")</f>
        <v>153</v>
      </c>
      <c r="C313" s="119"/>
      <c r="D313" s="74" t="s">
        <v>116</v>
      </c>
      <c r="E313" s="23" t="s">
        <v>115</v>
      </c>
      <c r="F313" s="39">
        <f>F308*0.53</f>
        <v>367.29</v>
      </c>
      <c r="G313" s="85"/>
      <c r="H313" s="85">
        <f t="shared" si="106"/>
        <v>0</v>
      </c>
      <c r="I313" s="85">
        <f t="shared" si="104"/>
        <v>0</v>
      </c>
      <c r="J313" s="86"/>
      <c r="K313" s="87">
        <f t="shared" si="107"/>
        <v>0</v>
      </c>
      <c r="L313" s="87"/>
      <c r="M313" s="85"/>
      <c r="N313" s="85">
        <f t="shared" si="108"/>
        <v>0</v>
      </c>
      <c r="O313" s="85">
        <f t="shared" si="109"/>
        <v>0</v>
      </c>
      <c r="P313" s="85">
        <f t="shared" si="105"/>
        <v>0</v>
      </c>
      <c r="Q313" s="85">
        <f t="shared" si="110"/>
        <v>0</v>
      </c>
      <c r="R313" s="49"/>
    </row>
    <row r="314" spans="2:18" x14ac:dyDescent="0.25">
      <c r="B314" s="48" t="str">
        <f>IF(F314&lt;&gt;"",1+MAX($B$22:B313),"")</f>
        <v/>
      </c>
      <c r="C314" s="119"/>
      <c r="D314" s="74"/>
      <c r="E314" s="23"/>
      <c r="F314" s="39"/>
      <c r="G314" s="17"/>
      <c r="H314" s="17">
        <f t="shared" si="106"/>
        <v>0</v>
      </c>
      <c r="I314" s="17">
        <f t="shared" si="104"/>
        <v>0</v>
      </c>
      <c r="J314" s="15"/>
      <c r="K314" s="10">
        <f t="shared" si="107"/>
        <v>0</v>
      </c>
      <c r="L314" s="10"/>
      <c r="M314" s="17"/>
      <c r="N314" s="17">
        <f t="shared" si="108"/>
        <v>0</v>
      </c>
      <c r="O314" s="17">
        <f t="shared" si="109"/>
        <v>0</v>
      </c>
      <c r="P314" s="17">
        <f t="shared" si="105"/>
        <v>0</v>
      </c>
      <c r="Q314" s="17">
        <f t="shared" si="110"/>
        <v>0</v>
      </c>
      <c r="R314" s="49"/>
    </row>
    <row r="315" spans="2:18" x14ac:dyDescent="0.25">
      <c r="B315" s="48">
        <f>IF(F315&lt;&gt;"",1+MAX($B$22:B314),"")</f>
        <v>154</v>
      </c>
      <c r="C315" s="119"/>
      <c r="D315" s="8" t="s">
        <v>330</v>
      </c>
      <c r="E315" s="23" t="s">
        <v>73</v>
      </c>
      <c r="F315" s="39">
        <v>250</v>
      </c>
      <c r="G315" s="17">
        <v>1.22</v>
      </c>
      <c r="H315" s="17">
        <f t="shared" si="106"/>
        <v>1.3420000000000001</v>
      </c>
      <c r="I315" s="17">
        <f t="shared" ref="I315:I320" si="111">F315*H315</f>
        <v>335.5</v>
      </c>
      <c r="J315" s="15">
        <v>3.6999999999999998E-2</v>
      </c>
      <c r="K315" s="10">
        <f t="shared" ref="K315:K320" si="112">F315*J315</f>
        <v>9.25</v>
      </c>
      <c r="L315" s="88" t="s">
        <v>386</v>
      </c>
      <c r="M315" s="89">
        <v>53.15</v>
      </c>
      <c r="N315" s="17">
        <f t="shared" si="108"/>
        <v>69.201300000000003</v>
      </c>
      <c r="O315" s="17">
        <f t="shared" ref="O315:O320" si="113">J315*N315</f>
        <v>2.5604480999999999</v>
      </c>
      <c r="P315" s="17">
        <f t="shared" ref="P315:P320" si="114">F315*O315</f>
        <v>640.11202500000002</v>
      </c>
      <c r="Q315" s="17">
        <f t="shared" ref="Q315:Q320" si="115">I315+P315</f>
        <v>975.61202500000002</v>
      </c>
      <c r="R315" s="49"/>
    </row>
    <row r="316" spans="2:18" x14ac:dyDescent="0.25">
      <c r="B316" s="48">
        <f>IF(F316&lt;&gt;"",1+MAX($B$22:B315),"")</f>
        <v>155</v>
      </c>
      <c r="C316" s="119"/>
      <c r="D316" s="74" t="s">
        <v>110</v>
      </c>
      <c r="E316" s="23" t="s">
        <v>96</v>
      </c>
      <c r="F316" s="39">
        <f>F315/32</f>
        <v>7.8125</v>
      </c>
      <c r="G316" s="85"/>
      <c r="H316" s="85">
        <f t="shared" si="106"/>
        <v>0</v>
      </c>
      <c r="I316" s="85">
        <f t="shared" si="111"/>
        <v>0</v>
      </c>
      <c r="J316" s="86"/>
      <c r="K316" s="87">
        <f t="shared" si="112"/>
        <v>0</v>
      </c>
      <c r="L316" s="87"/>
      <c r="M316" s="85"/>
      <c r="N316" s="85">
        <f t="shared" si="108"/>
        <v>0</v>
      </c>
      <c r="O316" s="85">
        <f t="shared" si="113"/>
        <v>0</v>
      </c>
      <c r="P316" s="85">
        <f t="shared" si="114"/>
        <v>0</v>
      </c>
      <c r="Q316" s="85">
        <f t="shared" si="115"/>
        <v>0</v>
      </c>
      <c r="R316" s="49"/>
    </row>
    <row r="317" spans="2:18" x14ac:dyDescent="0.25">
      <c r="B317" s="48">
        <f>IF(F317&lt;&gt;"",1+MAX($B$22:B316),"")</f>
        <v>156</v>
      </c>
      <c r="C317" s="119"/>
      <c r="D317" s="74" t="s">
        <v>111</v>
      </c>
      <c r="E317" s="23" t="s">
        <v>112</v>
      </c>
      <c r="F317" s="39">
        <f>F315*0.031</f>
        <v>7.75</v>
      </c>
      <c r="G317" s="85"/>
      <c r="H317" s="85">
        <f t="shared" si="106"/>
        <v>0</v>
      </c>
      <c r="I317" s="85">
        <f t="shared" si="111"/>
        <v>0</v>
      </c>
      <c r="J317" s="86"/>
      <c r="K317" s="87">
        <f t="shared" si="112"/>
        <v>0</v>
      </c>
      <c r="L317" s="87"/>
      <c r="M317" s="85"/>
      <c r="N317" s="85">
        <f t="shared" si="108"/>
        <v>0</v>
      </c>
      <c r="O317" s="85">
        <f t="shared" si="113"/>
        <v>0</v>
      </c>
      <c r="P317" s="85">
        <f t="shared" si="114"/>
        <v>0</v>
      </c>
      <c r="Q317" s="85">
        <f t="shared" si="115"/>
        <v>0</v>
      </c>
      <c r="R317" s="49"/>
    </row>
    <row r="318" spans="2:18" x14ac:dyDescent="0.25">
      <c r="B318" s="48">
        <f>IF(F318&lt;&gt;"",1+MAX($B$22:B317),"")</f>
        <v>157</v>
      </c>
      <c r="C318" s="119"/>
      <c r="D318" s="74" t="s">
        <v>156</v>
      </c>
      <c r="E318" s="23" t="s">
        <v>113</v>
      </c>
      <c r="F318" s="39">
        <f>F316*12/500</f>
        <v>0.1875</v>
      </c>
      <c r="G318" s="85"/>
      <c r="H318" s="85">
        <f t="shared" si="106"/>
        <v>0</v>
      </c>
      <c r="I318" s="85">
        <f t="shared" si="111"/>
        <v>0</v>
      </c>
      <c r="J318" s="86"/>
      <c r="K318" s="87">
        <f t="shared" si="112"/>
        <v>0</v>
      </c>
      <c r="L318" s="87"/>
      <c r="M318" s="85"/>
      <c r="N318" s="85">
        <f t="shared" si="108"/>
        <v>0</v>
      </c>
      <c r="O318" s="85">
        <f t="shared" si="113"/>
        <v>0</v>
      </c>
      <c r="P318" s="85">
        <f t="shared" si="114"/>
        <v>0</v>
      </c>
      <c r="Q318" s="85">
        <f t="shared" si="115"/>
        <v>0</v>
      </c>
      <c r="R318" s="49"/>
    </row>
    <row r="319" spans="2:18" x14ac:dyDescent="0.25">
      <c r="B319" s="48">
        <f>IF(F319&lt;&gt;"",1+MAX($B$22:B318),"")</f>
        <v>158</v>
      </c>
      <c r="C319" s="119"/>
      <c r="D319" s="74" t="s">
        <v>114</v>
      </c>
      <c r="E319" s="23" t="s">
        <v>115</v>
      </c>
      <c r="F319" s="39">
        <f>F316*48/280</f>
        <v>1.3392857142857142</v>
      </c>
      <c r="G319" s="85"/>
      <c r="H319" s="85">
        <f t="shared" si="106"/>
        <v>0</v>
      </c>
      <c r="I319" s="85">
        <f t="shared" si="111"/>
        <v>0</v>
      </c>
      <c r="J319" s="86"/>
      <c r="K319" s="87">
        <f t="shared" si="112"/>
        <v>0</v>
      </c>
      <c r="L319" s="87"/>
      <c r="M319" s="85"/>
      <c r="N319" s="85">
        <f t="shared" si="108"/>
        <v>0</v>
      </c>
      <c r="O319" s="85">
        <f t="shared" si="113"/>
        <v>0</v>
      </c>
      <c r="P319" s="85">
        <f t="shared" si="114"/>
        <v>0</v>
      </c>
      <c r="Q319" s="85">
        <f t="shared" si="115"/>
        <v>0</v>
      </c>
      <c r="R319" s="49"/>
    </row>
    <row r="320" spans="2:18" x14ac:dyDescent="0.25">
      <c r="B320" s="48">
        <f>IF(F320&lt;&gt;"",1+MAX($B$22:B319),"")</f>
        <v>159</v>
      </c>
      <c r="C320" s="119"/>
      <c r="D320" s="74" t="s">
        <v>116</v>
      </c>
      <c r="E320" s="23" t="s">
        <v>115</v>
      </c>
      <c r="F320" s="39">
        <f>F315*0.53</f>
        <v>132.5</v>
      </c>
      <c r="G320" s="85"/>
      <c r="H320" s="85">
        <f t="shared" si="106"/>
        <v>0</v>
      </c>
      <c r="I320" s="85">
        <f t="shared" si="111"/>
        <v>0</v>
      </c>
      <c r="J320" s="86"/>
      <c r="K320" s="87">
        <f t="shared" si="112"/>
        <v>0</v>
      </c>
      <c r="L320" s="87"/>
      <c r="M320" s="85"/>
      <c r="N320" s="85">
        <f t="shared" si="108"/>
        <v>0</v>
      </c>
      <c r="O320" s="85">
        <f t="shared" si="113"/>
        <v>0</v>
      </c>
      <c r="P320" s="85">
        <f t="shared" si="114"/>
        <v>0</v>
      </c>
      <c r="Q320" s="85">
        <f t="shared" si="115"/>
        <v>0</v>
      </c>
      <c r="R320" s="49"/>
    </row>
    <row r="321" spans="2:18" x14ac:dyDescent="0.25">
      <c r="B321" s="48" t="str">
        <f>IF(F321&lt;&gt;"",1+MAX($B$22:B320),"")</f>
        <v/>
      </c>
      <c r="C321" s="119"/>
      <c r="D321" s="74"/>
      <c r="E321" s="23"/>
      <c r="F321" s="39"/>
      <c r="G321" s="17"/>
      <c r="H321" s="17">
        <f t="shared" si="106"/>
        <v>0</v>
      </c>
      <c r="I321" s="17">
        <f t="shared" si="104"/>
        <v>0</v>
      </c>
      <c r="J321" s="15"/>
      <c r="K321" s="10">
        <f t="shared" si="107"/>
        <v>0</v>
      </c>
      <c r="L321" s="10"/>
      <c r="M321" s="17"/>
      <c r="N321" s="17">
        <f t="shared" si="108"/>
        <v>0</v>
      </c>
      <c r="O321" s="17">
        <f t="shared" si="109"/>
        <v>0</v>
      </c>
      <c r="P321" s="17">
        <f t="shared" si="105"/>
        <v>0</v>
      </c>
      <c r="Q321" s="17">
        <f t="shared" si="110"/>
        <v>0</v>
      </c>
      <c r="R321" s="49"/>
    </row>
    <row r="322" spans="2:18" x14ac:dyDescent="0.25">
      <c r="B322" s="48">
        <f>IF(F322&lt;&gt;"",1+MAX($B$22:B321),"")</f>
        <v>160</v>
      </c>
      <c r="C322" s="119"/>
      <c r="D322" s="8" t="s">
        <v>331</v>
      </c>
      <c r="E322" s="23" t="s">
        <v>73</v>
      </c>
      <c r="F322" s="39">
        <f>2426-693</f>
        <v>1733</v>
      </c>
      <c r="G322" s="17">
        <v>1.1499999999999999</v>
      </c>
      <c r="H322" s="17">
        <f t="shared" si="106"/>
        <v>1.2649999999999999</v>
      </c>
      <c r="I322" s="17">
        <f t="shared" ref="I322:I327" si="116">F322*H322</f>
        <v>2192.2449999999999</v>
      </c>
      <c r="J322" s="15">
        <v>3.6999999999999998E-2</v>
      </c>
      <c r="K322" s="10">
        <f t="shared" ref="K322:K327" si="117">F322*J322</f>
        <v>64.120999999999995</v>
      </c>
      <c r="L322" s="88" t="s">
        <v>386</v>
      </c>
      <c r="M322" s="89">
        <v>53.15</v>
      </c>
      <c r="N322" s="17">
        <f t="shared" si="108"/>
        <v>69.201300000000003</v>
      </c>
      <c r="O322" s="17">
        <f t="shared" ref="O322:O327" si="118">J322*N322</f>
        <v>2.5604480999999999</v>
      </c>
      <c r="P322" s="17">
        <f t="shared" ref="P322:P327" si="119">F322*O322</f>
        <v>4437.2565573000002</v>
      </c>
      <c r="Q322" s="17">
        <f t="shared" ref="Q322:Q327" si="120">I322+P322</f>
        <v>6629.5015573000001</v>
      </c>
      <c r="R322" s="49"/>
    </row>
    <row r="323" spans="2:18" x14ac:dyDescent="0.25">
      <c r="B323" s="48">
        <f>IF(F323&lt;&gt;"",1+MAX($B$22:B322),"")</f>
        <v>161</v>
      </c>
      <c r="C323" s="119"/>
      <c r="D323" s="74" t="s">
        <v>110</v>
      </c>
      <c r="E323" s="23" t="s">
        <v>96</v>
      </c>
      <c r="F323" s="39">
        <f>F322/32</f>
        <v>54.15625</v>
      </c>
      <c r="G323" s="85"/>
      <c r="H323" s="85">
        <f t="shared" si="106"/>
        <v>0</v>
      </c>
      <c r="I323" s="85">
        <f t="shared" si="116"/>
        <v>0</v>
      </c>
      <c r="J323" s="86"/>
      <c r="K323" s="87">
        <f t="shared" si="117"/>
        <v>0</v>
      </c>
      <c r="L323" s="87"/>
      <c r="M323" s="85"/>
      <c r="N323" s="85">
        <f t="shared" si="108"/>
        <v>0</v>
      </c>
      <c r="O323" s="85">
        <f t="shared" si="118"/>
        <v>0</v>
      </c>
      <c r="P323" s="85">
        <f t="shared" si="119"/>
        <v>0</v>
      </c>
      <c r="Q323" s="85">
        <f t="shared" si="120"/>
        <v>0</v>
      </c>
      <c r="R323" s="49"/>
    </row>
    <row r="324" spans="2:18" x14ac:dyDescent="0.25">
      <c r="B324" s="48">
        <f>IF(F324&lt;&gt;"",1+MAX($B$22:B323),"")</f>
        <v>162</v>
      </c>
      <c r="C324" s="119"/>
      <c r="D324" s="74" t="s">
        <v>111</v>
      </c>
      <c r="E324" s="23" t="s">
        <v>112</v>
      </c>
      <c r="F324" s="39">
        <f>F322*0.031</f>
        <v>53.722999999999999</v>
      </c>
      <c r="G324" s="85"/>
      <c r="H324" s="85">
        <f t="shared" si="106"/>
        <v>0</v>
      </c>
      <c r="I324" s="85">
        <f t="shared" si="116"/>
        <v>0</v>
      </c>
      <c r="J324" s="86"/>
      <c r="K324" s="87">
        <f t="shared" si="117"/>
        <v>0</v>
      </c>
      <c r="L324" s="87"/>
      <c r="M324" s="85"/>
      <c r="N324" s="85">
        <f t="shared" si="108"/>
        <v>0</v>
      </c>
      <c r="O324" s="85">
        <f t="shared" si="118"/>
        <v>0</v>
      </c>
      <c r="P324" s="85">
        <f t="shared" si="119"/>
        <v>0</v>
      </c>
      <c r="Q324" s="85">
        <f t="shared" si="120"/>
        <v>0</v>
      </c>
      <c r="R324" s="49"/>
    </row>
    <row r="325" spans="2:18" x14ac:dyDescent="0.25">
      <c r="B325" s="48">
        <f>IF(F325&lt;&gt;"",1+MAX($B$22:B324),"")</f>
        <v>163</v>
      </c>
      <c r="C325" s="119"/>
      <c r="D325" s="74" t="s">
        <v>156</v>
      </c>
      <c r="E325" s="23" t="s">
        <v>113</v>
      </c>
      <c r="F325" s="39">
        <f>F323*12/500</f>
        <v>1.29975</v>
      </c>
      <c r="G325" s="85"/>
      <c r="H325" s="85">
        <f t="shared" si="106"/>
        <v>0</v>
      </c>
      <c r="I325" s="85">
        <f t="shared" si="116"/>
        <v>0</v>
      </c>
      <c r="J325" s="86"/>
      <c r="K325" s="87">
        <f t="shared" si="117"/>
        <v>0</v>
      </c>
      <c r="L325" s="87"/>
      <c r="M325" s="85"/>
      <c r="N325" s="85">
        <f t="shared" si="108"/>
        <v>0</v>
      </c>
      <c r="O325" s="85">
        <f t="shared" si="118"/>
        <v>0</v>
      </c>
      <c r="P325" s="85">
        <f t="shared" si="119"/>
        <v>0</v>
      </c>
      <c r="Q325" s="85">
        <f t="shared" si="120"/>
        <v>0</v>
      </c>
      <c r="R325" s="49"/>
    </row>
    <row r="326" spans="2:18" x14ac:dyDescent="0.25">
      <c r="B326" s="48">
        <f>IF(F326&lt;&gt;"",1+MAX($B$22:B325),"")</f>
        <v>164</v>
      </c>
      <c r="C326" s="119"/>
      <c r="D326" s="74" t="s">
        <v>114</v>
      </c>
      <c r="E326" s="23" t="s">
        <v>115</v>
      </c>
      <c r="F326" s="39">
        <f>F323*48/280</f>
        <v>9.2839285714285715</v>
      </c>
      <c r="G326" s="85"/>
      <c r="H326" s="85">
        <f t="shared" si="106"/>
        <v>0</v>
      </c>
      <c r="I326" s="85">
        <f t="shared" si="116"/>
        <v>0</v>
      </c>
      <c r="J326" s="86"/>
      <c r="K326" s="87">
        <f t="shared" si="117"/>
        <v>0</v>
      </c>
      <c r="L326" s="87"/>
      <c r="M326" s="85"/>
      <c r="N326" s="85">
        <f t="shared" si="108"/>
        <v>0</v>
      </c>
      <c r="O326" s="85">
        <f t="shared" si="118"/>
        <v>0</v>
      </c>
      <c r="P326" s="85">
        <f t="shared" si="119"/>
        <v>0</v>
      </c>
      <c r="Q326" s="85">
        <f t="shared" si="120"/>
        <v>0</v>
      </c>
      <c r="R326" s="49"/>
    </row>
    <row r="327" spans="2:18" x14ac:dyDescent="0.25">
      <c r="B327" s="48">
        <f>IF(F327&lt;&gt;"",1+MAX($B$22:B326),"")</f>
        <v>165</v>
      </c>
      <c r="C327" s="119"/>
      <c r="D327" s="74" t="s">
        <v>116</v>
      </c>
      <c r="E327" s="23" t="s">
        <v>115</v>
      </c>
      <c r="F327" s="39">
        <f>F322*0.53</f>
        <v>918.49</v>
      </c>
      <c r="G327" s="85"/>
      <c r="H327" s="85">
        <f t="shared" si="106"/>
        <v>0</v>
      </c>
      <c r="I327" s="85">
        <f t="shared" si="116"/>
        <v>0</v>
      </c>
      <c r="J327" s="86"/>
      <c r="K327" s="87">
        <f t="shared" si="117"/>
        <v>0</v>
      </c>
      <c r="L327" s="87"/>
      <c r="M327" s="85"/>
      <c r="N327" s="85">
        <f t="shared" si="108"/>
        <v>0</v>
      </c>
      <c r="O327" s="85">
        <f t="shared" si="118"/>
        <v>0</v>
      </c>
      <c r="P327" s="85">
        <f t="shared" si="119"/>
        <v>0</v>
      </c>
      <c r="Q327" s="85">
        <f t="shared" si="120"/>
        <v>0</v>
      </c>
      <c r="R327" s="49"/>
    </row>
    <row r="328" spans="2:18" x14ac:dyDescent="0.25">
      <c r="B328" s="48" t="str">
        <f>IF(F328&lt;&gt;"",1+MAX($B$22:B327),"")</f>
        <v/>
      </c>
      <c r="C328" s="119"/>
      <c r="D328" s="8"/>
      <c r="E328" s="23"/>
      <c r="F328" s="39"/>
      <c r="G328" s="17"/>
      <c r="H328" s="17">
        <f t="shared" si="106"/>
        <v>0</v>
      </c>
      <c r="I328" s="17">
        <f t="shared" ref="I328:I355" si="121">F328*H328</f>
        <v>0</v>
      </c>
      <c r="J328" s="15"/>
      <c r="K328" s="10">
        <f t="shared" si="107"/>
        <v>0</v>
      </c>
      <c r="L328" s="10"/>
      <c r="M328" s="17"/>
      <c r="N328" s="17">
        <f t="shared" si="108"/>
        <v>0</v>
      </c>
      <c r="O328" s="17">
        <f t="shared" si="109"/>
        <v>0</v>
      </c>
      <c r="P328" s="17">
        <f t="shared" ref="P328:P355" si="122">F328*O328</f>
        <v>0</v>
      </c>
      <c r="Q328" s="17">
        <f t="shared" si="110"/>
        <v>0</v>
      </c>
      <c r="R328" s="49"/>
    </row>
    <row r="329" spans="2:18" x14ac:dyDescent="0.25">
      <c r="B329" s="48" t="str">
        <f>IF(F329&lt;&gt;"",1+MAX($B$22:B328),"")</f>
        <v/>
      </c>
      <c r="C329" s="119"/>
      <c r="D329" s="51" t="s">
        <v>117</v>
      </c>
      <c r="E329" s="23"/>
      <c r="F329" s="39"/>
      <c r="G329" s="17"/>
      <c r="H329" s="17">
        <f t="shared" si="106"/>
        <v>0</v>
      </c>
      <c r="I329" s="17">
        <f t="shared" si="121"/>
        <v>0</v>
      </c>
      <c r="J329" s="15"/>
      <c r="K329" s="10">
        <f t="shared" si="107"/>
        <v>0</v>
      </c>
      <c r="L329" s="10"/>
      <c r="M329" s="17"/>
      <c r="N329" s="17">
        <f t="shared" si="108"/>
        <v>0</v>
      </c>
      <c r="O329" s="17">
        <f t="shared" si="109"/>
        <v>0</v>
      </c>
      <c r="P329" s="17">
        <f t="shared" si="122"/>
        <v>0</v>
      </c>
      <c r="Q329" s="17">
        <f t="shared" si="110"/>
        <v>0</v>
      </c>
      <c r="R329" s="49"/>
    </row>
    <row r="330" spans="2:18" x14ac:dyDescent="0.25">
      <c r="B330" s="48">
        <f>IF(F330&lt;&gt;"",1+MAX($B$22:B329),"")</f>
        <v>166</v>
      </c>
      <c r="C330" s="119"/>
      <c r="D330" s="8" t="s">
        <v>332</v>
      </c>
      <c r="E330" s="23" t="s">
        <v>73</v>
      </c>
      <c r="F330" s="39">
        <v>135</v>
      </c>
      <c r="G330" s="17">
        <v>2.1</v>
      </c>
      <c r="H330" s="17">
        <f t="shared" si="106"/>
        <v>2.3100000000000005</v>
      </c>
      <c r="I330" s="17">
        <f t="shared" si="121"/>
        <v>311.85000000000008</v>
      </c>
      <c r="J330" s="15">
        <v>6.5000000000000002E-2</v>
      </c>
      <c r="K330" s="10">
        <f t="shared" ref="K330:K335" si="123">F330*J330</f>
        <v>8.7750000000000004</v>
      </c>
      <c r="L330" s="88" t="s">
        <v>386</v>
      </c>
      <c r="M330" s="89">
        <v>53.15</v>
      </c>
      <c r="N330" s="17">
        <f t="shared" si="108"/>
        <v>69.201300000000003</v>
      </c>
      <c r="O330" s="17">
        <f t="shared" ref="O330:O335" si="124">J330*N330</f>
        <v>4.4980845</v>
      </c>
      <c r="P330" s="17">
        <f t="shared" si="122"/>
        <v>607.24140750000004</v>
      </c>
      <c r="Q330" s="17">
        <f t="shared" ref="Q330:Q335" si="125">I330+P330</f>
        <v>919.09140750000006</v>
      </c>
      <c r="R330" s="49"/>
    </row>
    <row r="331" spans="2:18" x14ac:dyDescent="0.25">
      <c r="B331" s="48">
        <f>IF(F331&lt;&gt;"",1+MAX($B$22:B330),"")</f>
        <v>167</v>
      </c>
      <c r="C331" s="119"/>
      <c r="D331" s="74" t="s">
        <v>110</v>
      </c>
      <c r="E331" s="23" t="s">
        <v>96</v>
      </c>
      <c r="F331" s="39">
        <f>F330/32</f>
        <v>4.21875</v>
      </c>
      <c r="G331" s="85"/>
      <c r="H331" s="85">
        <f t="shared" si="106"/>
        <v>0</v>
      </c>
      <c r="I331" s="85">
        <f t="shared" si="121"/>
        <v>0</v>
      </c>
      <c r="J331" s="86"/>
      <c r="K331" s="87">
        <f t="shared" si="123"/>
        <v>0</v>
      </c>
      <c r="L331" s="87"/>
      <c r="M331" s="85"/>
      <c r="N331" s="85">
        <f t="shared" si="108"/>
        <v>0</v>
      </c>
      <c r="O331" s="85">
        <f t="shared" si="124"/>
        <v>0</v>
      </c>
      <c r="P331" s="85">
        <f t="shared" si="122"/>
        <v>0</v>
      </c>
      <c r="Q331" s="85">
        <f t="shared" si="125"/>
        <v>0</v>
      </c>
      <c r="R331" s="49"/>
    </row>
    <row r="332" spans="2:18" x14ac:dyDescent="0.25">
      <c r="B332" s="48">
        <f>IF(F332&lt;&gt;"",1+MAX($B$22:B331),"")</f>
        <v>168</v>
      </c>
      <c r="C332" s="119"/>
      <c r="D332" s="74" t="s">
        <v>111</v>
      </c>
      <c r="E332" s="23" t="s">
        <v>112</v>
      </c>
      <c r="F332" s="39">
        <f>F330*0.031</f>
        <v>4.1849999999999996</v>
      </c>
      <c r="G332" s="85"/>
      <c r="H332" s="85">
        <f t="shared" si="106"/>
        <v>0</v>
      </c>
      <c r="I332" s="85">
        <f t="shared" si="121"/>
        <v>0</v>
      </c>
      <c r="J332" s="86"/>
      <c r="K332" s="87">
        <f t="shared" si="123"/>
        <v>0</v>
      </c>
      <c r="L332" s="87"/>
      <c r="M332" s="85"/>
      <c r="N332" s="85">
        <f t="shared" si="108"/>
        <v>0</v>
      </c>
      <c r="O332" s="85">
        <f t="shared" si="124"/>
        <v>0</v>
      </c>
      <c r="P332" s="85">
        <f t="shared" si="122"/>
        <v>0</v>
      </c>
      <c r="Q332" s="85">
        <f t="shared" si="125"/>
        <v>0</v>
      </c>
      <c r="R332" s="49"/>
    </row>
    <row r="333" spans="2:18" x14ac:dyDescent="0.25">
      <c r="B333" s="48">
        <f>IF(F333&lt;&gt;"",1+MAX($B$22:B332),"")</f>
        <v>169</v>
      </c>
      <c r="C333" s="119"/>
      <c r="D333" s="74" t="s">
        <v>156</v>
      </c>
      <c r="E333" s="23" t="s">
        <v>113</v>
      </c>
      <c r="F333" s="39">
        <f>F331*12/500</f>
        <v>0.10125000000000001</v>
      </c>
      <c r="G333" s="85"/>
      <c r="H333" s="85">
        <f t="shared" si="106"/>
        <v>0</v>
      </c>
      <c r="I333" s="85">
        <f t="shared" si="121"/>
        <v>0</v>
      </c>
      <c r="J333" s="86"/>
      <c r="K333" s="87">
        <f t="shared" si="123"/>
        <v>0</v>
      </c>
      <c r="L333" s="87"/>
      <c r="M333" s="85"/>
      <c r="N333" s="85">
        <f t="shared" si="108"/>
        <v>0</v>
      </c>
      <c r="O333" s="85">
        <f t="shared" si="124"/>
        <v>0</v>
      </c>
      <c r="P333" s="85">
        <f t="shared" si="122"/>
        <v>0</v>
      </c>
      <c r="Q333" s="85">
        <f t="shared" si="125"/>
        <v>0</v>
      </c>
      <c r="R333" s="49"/>
    </row>
    <row r="334" spans="2:18" x14ac:dyDescent="0.25">
      <c r="B334" s="48">
        <f>IF(F334&lt;&gt;"",1+MAX($B$22:B333),"")</f>
        <v>170</v>
      </c>
      <c r="C334" s="119"/>
      <c r="D334" s="74" t="s">
        <v>114</v>
      </c>
      <c r="E334" s="23" t="s">
        <v>115</v>
      </c>
      <c r="F334" s="39">
        <f>F331*48/280</f>
        <v>0.7232142857142857</v>
      </c>
      <c r="G334" s="85"/>
      <c r="H334" s="85">
        <f t="shared" si="106"/>
        <v>0</v>
      </c>
      <c r="I334" s="85">
        <f t="shared" si="121"/>
        <v>0</v>
      </c>
      <c r="J334" s="86"/>
      <c r="K334" s="87">
        <f t="shared" si="123"/>
        <v>0</v>
      </c>
      <c r="L334" s="87"/>
      <c r="M334" s="85"/>
      <c r="N334" s="85">
        <f t="shared" si="108"/>
        <v>0</v>
      </c>
      <c r="O334" s="85">
        <f t="shared" si="124"/>
        <v>0</v>
      </c>
      <c r="P334" s="85">
        <f t="shared" si="122"/>
        <v>0</v>
      </c>
      <c r="Q334" s="85">
        <f t="shared" si="125"/>
        <v>0</v>
      </c>
      <c r="R334" s="49"/>
    </row>
    <row r="335" spans="2:18" x14ac:dyDescent="0.25">
      <c r="B335" s="48">
        <f>IF(F335&lt;&gt;"",1+MAX($B$22:B334),"")</f>
        <v>171</v>
      </c>
      <c r="C335" s="119"/>
      <c r="D335" s="74" t="s">
        <v>116</v>
      </c>
      <c r="E335" s="23" t="s">
        <v>115</v>
      </c>
      <c r="F335" s="39">
        <f>F330*0.53</f>
        <v>71.55</v>
      </c>
      <c r="G335" s="85"/>
      <c r="H335" s="85">
        <f t="shared" si="106"/>
        <v>0</v>
      </c>
      <c r="I335" s="85">
        <f t="shared" si="121"/>
        <v>0</v>
      </c>
      <c r="J335" s="86"/>
      <c r="K335" s="87">
        <f t="shared" si="123"/>
        <v>0</v>
      </c>
      <c r="L335" s="87"/>
      <c r="M335" s="85"/>
      <c r="N335" s="85">
        <f t="shared" si="108"/>
        <v>0</v>
      </c>
      <c r="O335" s="85">
        <f t="shared" si="124"/>
        <v>0</v>
      </c>
      <c r="P335" s="85">
        <f t="shared" si="122"/>
        <v>0</v>
      </c>
      <c r="Q335" s="85">
        <f t="shared" si="125"/>
        <v>0</v>
      </c>
      <c r="R335" s="49"/>
    </row>
    <row r="336" spans="2:18" x14ac:dyDescent="0.25">
      <c r="B336" s="48" t="str">
        <f>IF(F336&lt;&gt;"",1+MAX($B$22:B335),"")</f>
        <v/>
      </c>
      <c r="C336" s="119"/>
      <c r="D336" s="74"/>
      <c r="E336" s="23"/>
      <c r="F336" s="39"/>
      <c r="G336" s="17"/>
      <c r="H336" s="17">
        <f t="shared" si="106"/>
        <v>0</v>
      </c>
      <c r="I336" s="17">
        <f t="shared" si="121"/>
        <v>0</v>
      </c>
      <c r="J336" s="15"/>
      <c r="K336" s="10">
        <f t="shared" si="107"/>
        <v>0</v>
      </c>
      <c r="L336" s="10"/>
      <c r="M336" s="17"/>
      <c r="N336" s="17">
        <f t="shared" si="108"/>
        <v>0</v>
      </c>
      <c r="O336" s="17">
        <f t="shared" si="109"/>
        <v>0</v>
      </c>
      <c r="P336" s="17">
        <f t="shared" si="122"/>
        <v>0</v>
      </c>
      <c r="Q336" s="17">
        <f t="shared" si="110"/>
        <v>0</v>
      </c>
      <c r="R336" s="49"/>
    </row>
    <row r="337" spans="2:18" x14ac:dyDescent="0.25">
      <c r="B337" s="48">
        <f>IF(F337&lt;&gt;"",1+MAX($B$22:B336),"")</f>
        <v>172</v>
      </c>
      <c r="C337" s="119"/>
      <c r="D337" s="75" t="s">
        <v>333</v>
      </c>
      <c r="E337" s="23" t="s">
        <v>73</v>
      </c>
      <c r="F337" s="39">
        <v>885</v>
      </c>
      <c r="G337" s="17">
        <v>2.1</v>
      </c>
      <c r="H337" s="17">
        <f t="shared" si="106"/>
        <v>2.3100000000000005</v>
      </c>
      <c r="I337" s="17">
        <f t="shared" ref="I337" si="126">F337*H337</f>
        <v>2044.3500000000004</v>
      </c>
      <c r="J337" s="15">
        <v>6.5000000000000002E-2</v>
      </c>
      <c r="K337" s="10">
        <f t="shared" si="107"/>
        <v>57.524999999999999</v>
      </c>
      <c r="L337" s="88" t="s">
        <v>386</v>
      </c>
      <c r="M337" s="89">
        <v>53.15</v>
      </c>
      <c r="N337" s="17">
        <f t="shared" si="108"/>
        <v>69.201300000000003</v>
      </c>
      <c r="O337" s="17">
        <f t="shared" ref="O337:O342" si="127">J337*N337</f>
        <v>4.4980845</v>
      </c>
      <c r="P337" s="17">
        <f t="shared" si="122"/>
        <v>3980.8047824999999</v>
      </c>
      <c r="Q337" s="17">
        <f t="shared" ref="Q337:Q342" si="128">I337+P337</f>
        <v>6025.1547824999998</v>
      </c>
      <c r="R337" s="49"/>
    </row>
    <row r="338" spans="2:18" x14ac:dyDescent="0.25">
      <c r="B338" s="48">
        <f>IF(F338&lt;&gt;"",1+MAX($B$22:B337),"")</f>
        <v>173</v>
      </c>
      <c r="C338" s="119"/>
      <c r="D338" s="74" t="s">
        <v>110</v>
      </c>
      <c r="E338" s="23" t="s">
        <v>96</v>
      </c>
      <c r="F338" s="39">
        <f>F337/32</f>
        <v>27.65625</v>
      </c>
      <c r="G338" s="85"/>
      <c r="H338" s="85">
        <f t="shared" si="106"/>
        <v>0</v>
      </c>
      <c r="I338" s="85">
        <f t="shared" si="121"/>
        <v>0</v>
      </c>
      <c r="J338" s="86"/>
      <c r="K338" s="87">
        <f t="shared" ref="K338:K342" si="129">F338*J338</f>
        <v>0</v>
      </c>
      <c r="L338" s="87"/>
      <c r="M338" s="85"/>
      <c r="N338" s="85">
        <f t="shared" si="108"/>
        <v>0</v>
      </c>
      <c r="O338" s="85">
        <f t="shared" si="127"/>
        <v>0</v>
      </c>
      <c r="P338" s="85">
        <f t="shared" si="122"/>
        <v>0</v>
      </c>
      <c r="Q338" s="85">
        <f t="shared" si="128"/>
        <v>0</v>
      </c>
      <c r="R338" s="49"/>
    </row>
    <row r="339" spans="2:18" x14ac:dyDescent="0.25">
      <c r="B339" s="48">
        <f>IF(F339&lt;&gt;"",1+MAX($B$22:B338),"")</f>
        <v>174</v>
      </c>
      <c r="C339" s="119"/>
      <c r="D339" s="74" t="s">
        <v>111</v>
      </c>
      <c r="E339" s="23" t="s">
        <v>112</v>
      </c>
      <c r="F339" s="39">
        <f>F337*0.031</f>
        <v>27.434999999999999</v>
      </c>
      <c r="G339" s="85"/>
      <c r="H339" s="85">
        <f t="shared" si="106"/>
        <v>0</v>
      </c>
      <c r="I339" s="85">
        <f t="shared" si="121"/>
        <v>0</v>
      </c>
      <c r="J339" s="86"/>
      <c r="K339" s="87">
        <f t="shared" si="129"/>
        <v>0</v>
      </c>
      <c r="L339" s="87"/>
      <c r="M339" s="85"/>
      <c r="N339" s="85">
        <f t="shared" si="108"/>
        <v>0</v>
      </c>
      <c r="O339" s="85">
        <f t="shared" si="127"/>
        <v>0</v>
      </c>
      <c r="P339" s="85">
        <f t="shared" si="122"/>
        <v>0</v>
      </c>
      <c r="Q339" s="85">
        <f t="shared" si="128"/>
        <v>0</v>
      </c>
      <c r="R339" s="49"/>
    </row>
    <row r="340" spans="2:18" x14ac:dyDescent="0.25">
      <c r="B340" s="48">
        <f>IF(F340&lt;&gt;"",1+MAX($B$22:B339),"")</f>
        <v>175</v>
      </c>
      <c r="C340" s="119"/>
      <c r="D340" s="74" t="s">
        <v>156</v>
      </c>
      <c r="E340" s="23" t="s">
        <v>113</v>
      </c>
      <c r="F340" s="39">
        <f>F338*12/500</f>
        <v>0.66374999999999995</v>
      </c>
      <c r="G340" s="85"/>
      <c r="H340" s="85">
        <f t="shared" si="106"/>
        <v>0</v>
      </c>
      <c r="I340" s="85">
        <f t="shared" si="121"/>
        <v>0</v>
      </c>
      <c r="J340" s="86"/>
      <c r="K340" s="87">
        <f t="shared" si="129"/>
        <v>0</v>
      </c>
      <c r="L340" s="87"/>
      <c r="M340" s="85"/>
      <c r="N340" s="85">
        <f t="shared" si="108"/>
        <v>0</v>
      </c>
      <c r="O340" s="85">
        <f t="shared" si="127"/>
        <v>0</v>
      </c>
      <c r="P340" s="85">
        <f t="shared" si="122"/>
        <v>0</v>
      </c>
      <c r="Q340" s="85">
        <f t="shared" si="128"/>
        <v>0</v>
      </c>
      <c r="R340" s="49"/>
    </row>
    <row r="341" spans="2:18" x14ac:dyDescent="0.25">
      <c r="B341" s="48">
        <f>IF(F341&lt;&gt;"",1+MAX($B$22:B340),"")</f>
        <v>176</v>
      </c>
      <c r="C341" s="119"/>
      <c r="D341" s="74" t="s">
        <v>114</v>
      </c>
      <c r="E341" s="23" t="s">
        <v>115</v>
      </c>
      <c r="F341" s="39">
        <f>F338*48/280</f>
        <v>4.7410714285714288</v>
      </c>
      <c r="G341" s="85"/>
      <c r="H341" s="85">
        <f t="shared" si="106"/>
        <v>0</v>
      </c>
      <c r="I341" s="85">
        <f t="shared" si="121"/>
        <v>0</v>
      </c>
      <c r="J341" s="86"/>
      <c r="K341" s="87">
        <f t="shared" si="129"/>
        <v>0</v>
      </c>
      <c r="L341" s="87"/>
      <c r="M341" s="85"/>
      <c r="N341" s="85">
        <f t="shared" si="108"/>
        <v>0</v>
      </c>
      <c r="O341" s="85">
        <f t="shared" si="127"/>
        <v>0</v>
      </c>
      <c r="P341" s="85">
        <f t="shared" si="122"/>
        <v>0</v>
      </c>
      <c r="Q341" s="85">
        <f t="shared" si="128"/>
        <v>0</v>
      </c>
      <c r="R341" s="49"/>
    </row>
    <row r="342" spans="2:18" x14ac:dyDescent="0.25">
      <c r="B342" s="48">
        <f>IF(F342&lt;&gt;"",1+MAX($B$22:B341),"")</f>
        <v>177</v>
      </c>
      <c r="C342" s="119"/>
      <c r="D342" s="74" t="s">
        <v>116</v>
      </c>
      <c r="E342" s="23" t="s">
        <v>115</v>
      </c>
      <c r="F342" s="39">
        <f>F337*0.53</f>
        <v>469.05</v>
      </c>
      <c r="G342" s="85"/>
      <c r="H342" s="85">
        <f t="shared" si="106"/>
        <v>0</v>
      </c>
      <c r="I342" s="85">
        <f t="shared" si="121"/>
        <v>0</v>
      </c>
      <c r="J342" s="86"/>
      <c r="K342" s="87">
        <f t="shared" si="129"/>
        <v>0</v>
      </c>
      <c r="L342" s="87"/>
      <c r="M342" s="85"/>
      <c r="N342" s="85">
        <f t="shared" si="108"/>
        <v>0</v>
      </c>
      <c r="O342" s="85">
        <f t="shared" si="127"/>
        <v>0</v>
      </c>
      <c r="P342" s="85">
        <f t="shared" si="122"/>
        <v>0</v>
      </c>
      <c r="Q342" s="85">
        <f t="shared" si="128"/>
        <v>0</v>
      </c>
      <c r="R342" s="49"/>
    </row>
    <row r="343" spans="2:18" x14ac:dyDescent="0.25">
      <c r="B343" s="48" t="str">
        <f>IF(F343&lt;&gt;"",1+MAX($B$22:B342),"")</f>
        <v/>
      </c>
      <c r="C343" s="119"/>
      <c r="D343" s="74"/>
      <c r="E343" s="23"/>
      <c r="F343" s="39"/>
      <c r="G343" s="17"/>
      <c r="H343" s="17">
        <f t="shared" si="106"/>
        <v>0</v>
      </c>
      <c r="I343" s="17">
        <f t="shared" si="121"/>
        <v>0</v>
      </c>
      <c r="J343" s="15"/>
      <c r="K343" s="10">
        <f t="shared" si="107"/>
        <v>0</v>
      </c>
      <c r="L343" s="10"/>
      <c r="M343" s="17"/>
      <c r="N343" s="17">
        <f t="shared" si="108"/>
        <v>0</v>
      </c>
      <c r="O343" s="17">
        <f t="shared" si="109"/>
        <v>0</v>
      </c>
      <c r="P343" s="17">
        <f t="shared" si="122"/>
        <v>0</v>
      </c>
      <c r="Q343" s="17">
        <f t="shared" si="110"/>
        <v>0</v>
      </c>
      <c r="R343" s="49"/>
    </row>
    <row r="344" spans="2:18" x14ac:dyDescent="0.25">
      <c r="B344" s="48">
        <f>IF(F344&lt;&gt;"",1+MAX($B$22:B343),"")</f>
        <v>178</v>
      </c>
      <c r="C344" s="119"/>
      <c r="D344" s="8" t="s">
        <v>334</v>
      </c>
      <c r="E344" s="23" t="s">
        <v>73</v>
      </c>
      <c r="F344" s="39">
        <f>625*1.118</f>
        <v>698.75000000000011</v>
      </c>
      <c r="G344" s="17">
        <v>2.1</v>
      </c>
      <c r="H344" s="17">
        <f t="shared" si="106"/>
        <v>2.3100000000000005</v>
      </c>
      <c r="I344" s="17">
        <f t="shared" ref="I344" si="130">F344*H344</f>
        <v>1614.1125000000006</v>
      </c>
      <c r="J344" s="15">
        <v>6.5000000000000002E-2</v>
      </c>
      <c r="K344" s="10">
        <f t="shared" si="107"/>
        <v>45.41875000000001</v>
      </c>
      <c r="L344" s="88" t="s">
        <v>386</v>
      </c>
      <c r="M344" s="89">
        <v>53.15</v>
      </c>
      <c r="N344" s="17">
        <f t="shared" si="108"/>
        <v>69.201300000000003</v>
      </c>
      <c r="O344" s="17">
        <f t="shared" ref="O344:O349" si="131">J344*N344</f>
        <v>4.4980845</v>
      </c>
      <c r="P344" s="17">
        <f t="shared" si="122"/>
        <v>3143.0365443750006</v>
      </c>
      <c r="Q344" s="17">
        <f t="shared" ref="Q344:Q349" si="132">I344+P344</f>
        <v>4757.1490443750008</v>
      </c>
      <c r="R344" s="49"/>
    </row>
    <row r="345" spans="2:18" x14ac:dyDescent="0.25">
      <c r="B345" s="48">
        <f>IF(F345&lt;&gt;"",1+MAX($B$22:B344),"")</f>
        <v>179</v>
      </c>
      <c r="C345" s="119"/>
      <c r="D345" s="74" t="s">
        <v>110</v>
      </c>
      <c r="E345" s="23" t="s">
        <v>96</v>
      </c>
      <c r="F345" s="39">
        <f>F344/32</f>
        <v>21.835937500000004</v>
      </c>
      <c r="G345" s="85"/>
      <c r="H345" s="85">
        <f t="shared" si="106"/>
        <v>0</v>
      </c>
      <c r="I345" s="85">
        <f t="shared" si="121"/>
        <v>0</v>
      </c>
      <c r="J345" s="86"/>
      <c r="K345" s="87">
        <f t="shared" ref="K345:K349" si="133">F345*J345</f>
        <v>0</v>
      </c>
      <c r="L345" s="87"/>
      <c r="M345" s="85"/>
      <c r="N345" s="85">
        <f t="shared" si="108"/>
        <v>0</v>
      </c>
      <c r="O345" s="85">
        <f t="shared" si="131"/>
        <v>0</v>
      </c>
      <c r="P345" s="85">
        <f t="shared" si="122"/>
        <v>0</v>
      </c>
      <c r="Q345" s="85">
        <f t="shared" si="132"/>
        <v>0</v>
      </c>
      <c r="R345" s="49"/>
    </row>
    <row r="346" spans="2:18" x14ac:dyDescent="0.25">
      <c r="B346" s="48">
        <f>IF(F346&lt;&gt;"",1+MAX($B$22:B345),"")</f>
        <v>180</v>
      </c>
      <c r="C346" s="119"/>
      <c r="D346" s="74" t="s">
        <v>111</v>
      </c>
      <c r="E346" s="23" t="s">
        <v>112</v>
      </c>
      <c r="F346" s="39">
        <f>F344*0.031</f>
        <v>21.661250000000003</v>
      </c>
      <c r="G346" s="85"/>
      <c r="H346" s="85">
        <f t="shared" si="106"/>
        <v>0</v>
      </c>
      <c r="I346" s="85">
        <f t="shared" si="121"/>
        <v>0</v>
      </c>
      <c r="J346" s="86"/>
      <c r="K346" s="87">
        <f t="shared" si="133"/>
        <v>0</v>
      </c>
      <c r="L346" s="87"/>
      <c r="M346" s="85"/>
      <c r="N346" s="85">
        <f t="shared" si="108"/>
        <v>0</v>
      </c>
      <c r="O346" s="85">
        <f t="shared" si="131"/>
        <v>0</v>
      </c>
      <c r="P346" s="85">
        <f t="shared" si="122"/>
        <v>0</v>
      </c>
      <c r="Q346" s="85">
        <f t="shared" si="132"/>
        <v>0</v>
      </c>
      <c r="R346" s="49"/>
    </row>
    <row r="347" spans="2:18" x14ac:dyDescent="0.25">
      <c r="B347" s="48">
        <f>IF(F347&lt;&gt;"",1+MAX($B$22:B346),"")</f>
        <v>181</v>
      </c>
      <c r="C347" s="119"/>
      <c r="D347" s="74" t="s">
        <v>156</v>
      </c>
      <c r="E347" s="23" t="s">
        <v>113</v>
      </c>
      <c r="F347" s="39">
        <f>F345*12/500</f>
        <v>0.5240625000000001</v>
      </c>
      <c r="G347" s="85"/>
      <c r="H347" s="85">
        <f t="shared" si="106"/>
        <v>0</v>
      </c>
      <c r="I347" s="85">
        <f t="shared" si="121"/>
        <v>0</v>
      </c>
      <c r="J347" s="86"/>
      <c r="K347" s="87">
        <f t="shared" si="133"/>
        <v>0</v>
      </c>
      <c r="L347" s="87"/>
      <c r="M347" s="85"/>
      <c r="N347" s="85">
        <f t="shared" si="108"/>
        <v>0</v>
      </c>
      <c r="O347" s="85">
        <f t="shared" si="131"/>
        <v>0</v>
      </c>
      <c r="P347" s="85">
        <f t="shared" si="122"/>
        <v>0</v>
      </c>
      <c r="Q347" s="85">
        <f t="shared" si="132"/>
        <v>0</v>
      </c>
      <c r="R347" s="49"/>
    </row>
    <row r="348" spans="2:18" x14ac:dyDescent="0.25">
      <c r="B348" s="48">
        <f>IF(F348&lt;&gt;"",1+MAX($B$22:B347),"")</f>
        <v>182</v>
      </c>
      <c r="C348" s="119"/>
      <c r="D348" s="74" t="s">
        <v>114</v>
      </c>
      <c r="E348" s="23" t="s">
        <v>115</v>
      </c>
      <c r="F348" s="39">
        <f>F345*48/280</f>
        <v>3.7433035714285721</v>
      </c>
      <c r="G348" s="85"/>
      <c r="H348" s="85">
        <f t="shared" si="106"/>
        <v>0</v>
      </c>
      <c r="I348" s="85">
        <f t="shared" si="121"/>
        <v>0</v>
      </c>
      <c r="J348" s="86"/>
      <c r="K348" s="87">
        <f t="shared" si="133"/>
        <v>0</v>
      </c>
      <c r="L348" s="87"/>
      <c r="M348" s="85"/>
      <c r="N348" s="85">
        <f t="shared" si="108"/>
        <v>0</v>
      </c>
      <c r="O348" s="85">
        <f t="shared" si="131"/>
        <v>0</v>
      </c>
      <c r="P348" s="85">
        <f t="shared" si="122"/>
        <v>0</v>
      </c>
      <c r="Q348" s="85">
        <f t="shared" si="132"/>
        <v>0</v>
      </c>
      <c r="R348" s="49"/>
    </row>
    <row r="349" spans="2:18" x14ac:dyDescent="0.25">
      <c r="B349" s="48">
        <f>IF(F349&lt;&gt;"",1+MAX($B$22:B348),"")</f>
        <v>183</v>
      </c>
      <c r="C349" s="119"/>
      <c r="D349" s="74" t="s">
        <v>116</v>
      </c>
      <c r="E349" s="23" t="s">
        <v>115</v>
      </c>
      <c r="F349" s="39">
        <f>F344*0.53</f>
        <v>370.33750000000009</v>
      </c>
      <c r="G349" s="85"/>
      <c r="H349" s="85">
        <f t="shared" si="106"/>
        <v>0</v>
      </c>
      <c r="I349" s="85">
        <f t="shared" si="121"/>
        <v>0</v>
      </c>
      <c r="J349" s="86"/>
      <c r="K349" s="87">
        <f t="shared" si="133"/>
        <v>0</v>
      </c>
      <c r="L349" s="87"/>
      <c r="M349" s="85"/>
      <c r="N349" s="85">
        <f t="shared" si="108"/>
        <v>0</v>
      </c>
      <c r="O349" s="85">
        <f t="shared" si="131"/>
        <v>0</v>
      </c>
      <c r="P349" s="85">
        <f t="shared" si="122"/>
        <v>0</v>
      </c>
      <c r="Q349" s="85">
        <f t="shared" si="132"/>
        <v>0</v>
      </c>
      <c r="R349" s="49"/>
    </row>
    <row r="350" spans="2:18" x14ac:dyDescent="0.25">
      <c r="B350" s="48" t="str">
        <f>IF(F350&lt;&gt;"",1+MAX($B$22:B349),"")</f>
        <v/>
      </c>
      <c r="C350" s="52"/>
      <c r="D350" s="74"/>
      <c r="E350" s="23"/>
      <c r="F350" s="39"/>
      <c r="G350" s="17"/>
      <c r="H350" s="17">
        <f t="shared" si="106"/>
        <v>0</v>
      </c>
      <c r="I350" s="17">
        <f t="shared" si="121"/>
        <v>0</v>
      </c>
      <c r="J350" s="15"/>
      <c r="K350" s="10">
        <f t="shared" si="107"/>
        <v>0</v>
      </c>
      <c r="L350" s="10"/>
      <c r="M350" s="17"/>
      <c r="N350" s="17">
        <f t="shared" si="108"/>
        <v>0</v>
      </c>
      <c r="O350" s="17">
        <f t="shared" si="109"/>
        <v>0</v>
      </c>
      <c r="P350" s="17">
        <f t="shared" si="122"/>
        <v>0</v>
      </c>
      <c r="Q350" s="17">
        <f t="shared" si="110"/>
        <v>0</v>
      </c>
      <c r="R350" s="49"/>
    </row>
    <row r="351" spans="2:18" x14ac:dyDescent="0.25">
      <c r="B351" s="67" t="str">
        <f>IF(F351&lt;&gt;"",1+MAX($B$22:B350),"")</f>
        <v/>
      </c>
      <c r="C351" s="68"/>
      <c r="D351" s="69" t="s">
        <v>118</v>
      </c>
      <c r="E351" s="23"/>
      <c r="F351" s="39"/>
      <c r="G351" s="17"/>
      <c r="H351" s="17">
        <f t="shared" si="106"/>
        <v>0</v>
      </c>
      <c r="I351" s="17">
        <f t="shared" si="121"/>
        <v>0</v>
      </c>
      <c r="J351" s="15"/>
      <c r="K351" s="10">
        <f t="shared" si="107"/>
        <v>0</v>
      </c>
      <c r="L351" s="10"/>
      <c r="M351" s="17"/>
      <c r="N351" s="17">
        <f t="shared" si="108"/>
        <v>0</v>
      </c>
      <c r="O351" s="17">
        <f t="shared" si="109"/>
        <v>0</v>
      </c>
      <c r="P351" s="17">
        <f t="shared" si="122"/>
        <v>0</v>
      </c>
      <c r="Q351" s="17">
        <f t="shared" si="110"/>
        <v>0</v>
      </c>
      <c r="R351" s="49"/>
    </row>
    <row r="352" spans="2:18" ht="55.2" x14ac:dyDescent="0.25">
      <c r="B352" s="48">
        <f>IF(F352&lt;&gt;"",1+MAX($B$22:B351),"")</f>
        <v>184</v>
      </c>
      <c r="C352" s="120" t="s">
        <v>278</v>
      </c>
      <c r="D352" s="8" t="s">
        <v>373</v>
      </c>
      <c r="E352" s="23" t="s">
        <v>73</v>
      </c>
      <c r="F352" s="39">
        <f>282*8+85*8.33</f>
        <v>2964.05</v>
      </c>
      <c r="G352" s="17">
        <v>0.23</v>
      </c>
      <c r="H352" s="17">
        <f t="shared" si="106"/>
        <v>0.25300000000000006</v>
      </c>
      <c r="I352" s="17">
        <f t="shared" si="121"/>
        <v>749.90465000000017</v>
      </c>
      <c r="J352" s="15">
        <v>2.4E-2</v>
      </c>
      <c r="K352" s="10">
        <f t="shared" si="107"/>
        <v>71.137200000000007</v>
      </c>
      <c r="L352" s="88" t="s">
        <v>400</v>
      </c>
      <c r="M352" s="89">
        <v>44.4</v>
      </c>
      <c r="N352" s="17">
        <f t="shared" si="108"/>
        <v>57.808799999999998</v>
      </c>
      <c r="O352" s="17">
        <f t="shared" si="109"/>
        <v>1.3874112000000001</v>
      </c>
      <c r="P352" s="17">
        <f t="shared" si="122"/>
        <v>4112.3561673600007</v>
      </c>
      <c r="Q352" s="17">
        <f t="shared" si="110"/>
        <v>4862.2608173600011</v>
      </c>
      <c r="R352" s="49"/>
    </row>
    <row r="353" spans="2:19" ht="27.6" x14ac:dyDescent="0.25">
      <c r="B353" s="48">
        <f>IF(F353&lt;&gt;"",1+MAX($B$22:B352),"")</f>
        <v>185</v>
      </c>
      <c r="C353" s="120"/>
      <c r="D353" s="8" t="s">
        <v>335</v>
      </c>
      <c r="E353" s="23" t="s">
        <v>73</v>
      </c>
      <c r="F353" s="39">
        <f>80.21*11.33+199*8.33</f>
        <v>2566.4493000000002</v>
      </c>
      <c r="G353" s="17">
        <v>0.23</v>
      </c>
      <c r="H353" s="17">
        <f t="shared" si="106"/>
        <v>0.25300000000000006</v>
      </c>
      <c r="I353" s="17">
        <f t="shared" si="121"/>
        <v>649.31167290000019</v>
      </c>
      <c r="J353" s="15">
        <v>2.4E-2</v>
      </c>
      <c r="K353" s="10">
        <f t="shared" si="107"/>
        <v>61.594783200000009</v>
      </c>
      <c r="L353" s="88" t="s">
        <v>400</v>
      </c>
      <c r="M353" s="89">
        <v>44.4</v>
      </c>
      <c r="N353" s="17">
        <f t="shared" si="108"/>
        <v>57.808799999999998</v>
      </c>
      <c r="O353" s="17">
        <f t="shared" si="109"/>
        <v>1.3874112000000001</v>
      </c>
      <c r="P353" s="17">
        <f t="shared" si="122"/>
        <v>3560.7205030521604</v>
      </c>
      <c r="Q353" s="17">
        <f t="shared" si="110"/>
        <v>4210.0321759521603</v>
      </c>
      <c r="R353" s="49"/>
    </row>
    <row r="354" spans="2:19" x14ac:dyDescent="0.25">
      <c r="B354" s="48">
        <f>IF(F354&lt;&gt;"",1+MAX($B$22:B353),"")</f>
        <v>186</v>
      </c>
      <c r="C354" s="120"/>
      <c r="D354" s="8" t="s">
        <v>336</v>
      </c>
      <c r="E354" s="23" t="s">
        <v>73</v>
      </c>
      <c r="F354" s="39">
        <f>135+885+699</f>
        <v>1719</v>
      </c>
      <c r="G354" s="17">
        <v>0.23</v>
      </c>
      <c r="H354" s="17">
        <f t="shared" si="106"/>
        <v>0.25300000000000006</v>
      </c>
      <c r="I354" s="17">
        <f t="shared" si="121"/>
        <v>434.9070000000001</v>
      </c>
      <c r="J354" s="15">
        <v>0.03</v>
      </c>
      <c r="K354" s="10">
        <f t="shared" si="107"/>
        <v>51.57</v>
      </c>
      <c r="L354" s="88" t="s">
        <v>400</v>
      </c>
      <c r="M354" s="89">
        <v>44.4</v>
      </c>
      <c r="N354" s="17">
        <f t="shared" si="108"/>
        <v>57.808799999999998</v>
      </c>
      <c r="O354" s="17">
        <f t="shared" si="109"/>
        <v>1.7342639999999998</v>
      </c>
      <c r="P354" s="17">
        <f t="shared" si="122"/>
        <v>2981.1998159999998</v>
      </c>
      <c r="Q354" s="17">
        <f t="shared" si="110"/>
        <v>3416.106816</v>
      </c>
      <c r="R354" s="49"/>
    </row>
    <row r="355" spans="2:19" x14ac:dyDescent="0.25">
      <c r="B355" s="48" t="str">
        <f>IF(F355&lt;&gt;"",1+MAX($B$22:B354),"")</f>
        <v/>
      </c>
      <c r="C355" s="52"/>
      <c r="D355" s="8"/>
      <c r="E355" s="23"/>
      <c r="F355" s="39"/>
      <c r="G355" s="17"/>
      <c r="H355" s="17">
        <f t="shared" si="106"/>
        <v>0</v>
      </c>
      <c r="I355" s="17">
        <f t="shared" si="121"/>
        <v>0</v>
      </c>
      <c r="J355" s="15"/>
      <c r="K355" s="10">
        <f t="shared" si="107"/>
        <v>0</v>
      </c>
      <c r="L355" s="10"/>
      <c r="M355" s="17"/>
      <c r="N355" s="17">
        <f t="shared" si="108"/>
        <v>0</v>
      </c>
      <c r="O355" s="17">
        <f t="shared" si="109"/>
        <v>0</v>
      </c>
      <c r="P355" s="17">
        <f t="shared" si="122"/>
        <v>0</v>
      </c>
      <c r="Q355" s="17">
        <f t="shared" si="110"/>
        <v>0</v>
      </c>
      <c r="R355" s="49"/>
      <c r="S355" s="12"/>
    </row>
    <row r="356" spans="2:19" s="12" customFormat="1" ht="12.75" customHeight="1" x14ac:dyDescent="0.25">
      <c r="B356" s="13" t="str">
        <f>IF(F356&lt;&gt;"",1+MAX($B$22:B355),"")</f>
        <v/>
      </c>
      <c r="C356" s="13" t="s">
        <v>50</v>
      </c>
      <c r="D356" s="6" t="s">
        <v>63</v>
      </c>
      <c r="E356" s="121" t="s">
        <v>61</v>
      </c>
      <c r="F356" s="121"/>
      <c r="G356" s="121"/>
      <c r="H356" s="53">
        <f>SUM(I357:I366)</f>
        <v>12667.6</v>
      </c>
      <c r="I356" s="7">
        <f t="shared" ref="I356:I366" si="134">F356*H356</f>
        <v>0</v>
      </c>
      <c r="J356" s="7"/>
      <c r="K356" s="122" t="s">
        <v>62</v>
      </c>
      <c r="L356" s="122"/>
      <c r="M356" s="122"/>
      <c r="N356" s="122"/>
      <c r="O356" s="53">
        <f>SUM(P357:P366)</f>
        <v>1839.9933656999999</v>
      </c>
      <c r="P356" s="7">
        <f t="shared" ref="P356:P366" si="135">F356*O356</f>
        <v>0</v>
      </c>
      <c r="Q356" s="47">
        <f>SUM(Q357:Q366)</f>
        <v>14507.593365699999</v>
      </c>
      <c r="R356" s="47">
        <f>(Q356)+(H356*$Q$8)+(O356*$Q$9)+(Q356*$Q$10)+($Q$11*((Q356)+(H356*$Q$8)+(O356*$Q$9)+(Q356*$Q$10)))+(Q356*$Q$12)</f>
        <v>20493.016310453895</v>
      </c>
    </row>
    <row r="357" spans="2:19" x14ac:dyDescent="0.25">
      <c r="B357" s="48" t="str">
        <f>IF(F357&lt;&gt;"",1+MAX($B$22:B356),"")</f>
        <v/>
      </c>
      <c r="C357" s="52"/>
      <c r="D357" s="8"/>
      <c r="E357" s="23"/>
      <c r="F357" s="39"/>
      <c r="G357" s="17"/>
      <c r="H357" s="17">
        <f t="shared" ref="H357:H366" si="136">G357*$T$2</f>
        <v>0</v>
      </c>
      <c r="I357" s="17">
        <f t="shared" si="134"/>
        <v>0</v>
      </c>
      <c r="J357" s="15"/>
      <c r="K357" s="10">
        <f t="shared" ref="K357:K366" si="137">F357*J357</f>
        <v>0</v>
      </c>
      <c r="L357" s="10"/>
      <c r="M357" s="17"/>
      <c r="N357" s="17">
        <f t="shared" ref="N357:N366" si="138">M357*$U$2</f>
        <v>0</v>
      </c>
      <c r="O357" s="17">
        <f t="shared" ref="O357:O366" si="139">J357*N357</f>
        <v>0</v>
      </c>
      <c r="P357" s="17">
        <f t="shared" si="135"/>
        <v>0</v>
      </c>
      <c r="Q357" s="17">
        <f t="shared" ref="Q357:Q366" si="140">I357+P357</f>
        <v>0</v>
      </c>
      <c r="R357" s="49"/>
      <c r="S357" s="12"/>
    </row>
    <row r="358" spans="2:19" x14ac:dyDescent="0.25">
      <c r="B358" s="67" t="str">
        <f>IF(F358&lt;&gt;"",1+MAX($B$22:B357),"")</f>
        <v/>
      </c>
      <c r="C358" s="68"/>
      <c r="D358" s="69" t="s">
        <v>119</v>
      </c>
      <c r="E358" s="23"/>
      <c r="F358" s="39"/>
      <c r="G358" s="17"/>
      <c r="H358" s="17">
        <f t="shared" si="136"/>
        <v>0</v>
      </c>
      <c r="I358" s="17">
        <f t="shared" si="134"/>
        <v>0</v>
      </c>
      <c r="J358" s="15"/>
      <c r="K358" s="10">
        <f t="shared" si="137"/>
        <v>0</v>
      </c>
      <c r="L358" s="10"/>
      <c r="M358" s="17"/>
      <c r="N358" s="17">
        <f t="shared" si="138"/>
        <v>0</v>
      </c>
      <c r="O358" s="17">
        <f t="shared" si="139"/>
        <v>0</v>
      </c>
      <c r="P358" s="17">
        <f t="shared" si="135"/>
        <v>0</v>
      </c>
      <c r="Q358" s="17">
        <f t="shared" si="140"/>
        <v>0</v>
      </c>
      <c r="R358" s="49"/>
    </row>
    <row r="359" spans="2:19" x14ac:dyDescent="0.25">
      <c r="B359" s="48">
        <f>IF(F359&lt;&gt;"",1+MAX($B$22:B358),"")</f>
        <v>187</v>
      </c>
      <c r="C359" s="52" t="s">
        <v>269</v>
      </c>
      <c r="D359" s="8" t="s">
        <v>344</v>
      </c>
      <c r="E359" s="23" t="s">
        <v>73</v>
      </c>
      <c r="F359" s="39">
        <v>32</v>
      </c>
      <c r="G359" s="17">
        <f>88/2</f>
        <v>44</v>
      </c>
      <c r="H359" s="17">
        <f t="shared" si="136"/>
        <v>48.400000000000006</v>
      </c>
      <c r="I359" s="17">
        <f t="shared" si="134"/>
        <v>1548.8000000000002</v>
      </c>
      <c r="J359" s="15">
        <v>0.28699999999999998</v>
      </c>
      <c r="K359" s="10">
        <f t="shared" si="137"/>
        <v>9.1839999999999993</v>
      </c>
      <c r="L359" s="88" t="s">
        <v>386</v>
      </c>
      <c r="M359" s="89">
        <v>53.15</v>
      </c>
      <c r="N359" s="17">
        <f t="shared" si="138"/>
        <v>69.201300000000003</v>
      </c>
      <c r="O359" s="17">
        <f t="shared" si="139"/>
        <v>19.860773099999999</v>
      </c>
      <c r="P359" s="17">
        <f t="shared" si="135"/>
        <v>635.54473919999998</v>
      </c>
      <c r="Q359" s="17">
        <f t="shared" si="140"/>
        <v>2184.3447392000003</v>
      </c>
      <c r="R359" s="49"/>
    </row>
    <row r="360" spans="2:19" x14ac:dyDescent="0.25">
      <c r="B360" s="48" t="str">
        <f>IF(F360&lt;&gt;"",1+MAX($B$22:B359),"")</f>
        <v/>
      </c>
      <c r="C360" s="52"/>
      <c r="D360" s="8"/>
      <c r="E360" s="23"/>
      <c r="F360" s="39"/>
      <c r="G360" s="17"/>
      <c r="H360" s="17">
        <f t="shared" si="136"/>
        <v>0</v>
      </c>
      <c r="I360" s="17">
        <f t="shared" si="134"/>
        <v>0</v>
      </c>
      <c r="J360" s="15"/>
      <c r="K360" s="10">
        <f t="shared" si="137"/>
        <v>0</v>
      </c>
      <c r="L360" s="10"/>
      <c r="M360" s="17"/>
      <c r="N360" s="17">
        <f t="shared" si="138"/>
        <v>0</v>
      </c>
      <c r="O360" s="17">
        <f t="shared" si="139"/>
        <v>0</v>
      </c>
      <c r="P360" s="17">
        <f t="shared" si="135"/>
        <v>0</v>
      </c>
      <c r="Q360" s="17">
        <f t="shared" si="140"/>
        <v>0</v>
      </c>
      <c r="R360" s="49"/>
    </row>
    <row r="361" spans="2:19" x14ac:dyDescent="0.25">
      <c r="B361" s="67" t="str">
        <f>IF(F361&lt;&gt;"",1+MAX($B$22:B360),"")</f>
        <v/>
      </c>
      <c r="C361" s="68"/>
      <c r="D361" s="69" t="s">
        <v>120</v>
      </c>
      <c r="E361" s="23"/>
      <c r="F361" s="39"/>
      <c r="G361" s="17"/>
      <c r="H361" s="17">
        <f t="shared" si="136"/>
        <v>0</v>
      </c>
      <c r="I361" s="17">
        <f t="shared" si="134"/>
        <v>0</v>
      </c>
      <c r="J361" s="15"/>
      <c r="K361" s="10">
        <f t="shared" si="137"/>
        <v>0</v>
      </c>
      <c r="L361" s="10"/>
      <c r="M361" s="17"/>
      <c r="N361" s="17">
        <f t="shared" si="138"/>
        <v>0</v>
      </c>
      <c r="O361" s="17">
        <f t="shared" si="139"/>
        <v>0</v>
      </c>
      <c r="P361" s="17">
        <f t="shared" si="135"/>
        <v>0</v>
      </c>
      <c r="Q361" s="17">
        <f t="shared" si="140"/>
        <v>0</v>
      </c>
      <c r="R361" s="49"/>
    </row>
    <row r="362" spans="2:19" x14ac:dyDescent="0.25">
      <c r="B362" s="48">
        <f>IF(F362&lt;&gt;"",1+MAX($B$22:B361),"")</f>
        <v>188</v>
      </c>
      <c r="C362" s="52" t="s">
        <v>269</v>
      </c>
      <c r="D362" s="8" t="s">
        <v>345</v>
      </c>
      <c r="E362" s="23" t="s">
        <v>78</v>
      </c>
      <c r="F362" s="39">
        <v>19</v>
      </c>
      <c r="G362" s="17">
        <v>12</v>
      </c>
      <c r="H362" s="17">
        <f t="shared" si="136"/>
        <v>13.200000000000001</v>
      </c>
      <c r="I362" s="17">
        <f t="shared" si="134"/>
        <v>250.8</v>
      </c>
      <c r="J362" s="15">
        <v>9.5000000000000001E-2</v>
      </c>
      <c r="K362" s="10">
        <f t="shared" si="137"/>
        <v>1.8049999999999999</v>
      </c>
      <c r="L362" s="88" t="s">
        <v>386</v>
      </c>
      <c r="M362" s="89">
        <v>53.15</v>
      </c>
      <c r="N362" s="17">
        <f t="shared" si="138"/>
        <v>69.201300000000003</v>
      </c>
      <c r="O362" s="17">
        <f t="shared" si="139"/>
        <v>6.5741235000000007</v>
      </c>
      <c r="P362" s="17">
        <f t="shared" si="135"/>
        <v>124.90834650000001</v>
      </c>
      <c r="Q362" s="17">
        <f t="shared" si="140"/>
        <v>375.7083465</v>
      </c>
      <c r="R362" s="49"/>
    </row>
    <row r="363" spans="2:19" x14ac:dyDescent="0.25">
      <c r="B363" s="48" t="str">
        <f>IF(F363&lt;&gt;"",1+MAX($B$22:B362),"")</f>
        <v/>
      </c>
      <c r="C363" s="52"/>
      <c r="D363" s="8"/>
      <c r="E363" s="23"/>
      <c r="F363" s="39"/>
      <c r="G363" s="17"/>
      <c r="H363" s="17">
        <f t="shared" si="136"/>
        <v>0</v>
      </c>
      <c r="I363" s="17">
        <f t="shared" si="134"/>
        <v>0</v>
      </c>
      <c r="J363" s="15"/>
      <c r="K363" s="10">
        <f t="shared" si="137"/>
        <v>0</v>
      </c>
      <c r="L363" s="10"/>
      <c r="M363" s="17"/>
      <c r="N363" s="17">
        <f t="shared" si="138"/>
        <v>0</v>
      </c>
      <c r="O363" s="17">
        <f t="shared" si="139"/>
        <v>0</v>
      </c>
      <c r="P363" s="17">
        <f t="shared" si="135"/>
        <v>0</v>
      </c>
      <c r="Q363" s="17">
        <f t="shared" si="140"/>
        <v>0</v>
      </c>
      <c r="R363" s="49"/>
    </row>
    <row r="364" spans="2:19" x14ac:dyDescent="0.25">
      <c r="B364" s="67" t="str">
        <f>IF(F364&lt;&gt;"",1+MAX($B$22:B363),"")</f>
        <v/>
      </c>
      <c r="C364" s="76"/>
      <c r="D364" s="69" t="s">
        <v>150</v>
      </c>
      <c r="E364" s="23"/>
      <c r="F364" s="39"/>
      <c r="G364" s="17"/>
      <c r="H364" s="17">
        <f t="shared" si="136"/>
        <v>0</v>
      </c>
      <c r="I364" s="17">
        <f t="shared" si="134"/>
        <v>0</v>
      </c>
      <c r="J364" s="15"/>
      <c r="K364" s="10">
        <f t="shared" si="137"/>
        <v>0</v>
      </c>
      <c r="L364" s="10"/>
      <c r="M364" s="17"/>
      <c r="N364" s="17">
        <f t="shared" si="138"/>
        <v>0</v>
      </c>
      <c r="O364" s="17">
        <f t="shared" si="139"/>
        <v>0</v>
      </c>
      <c r="P364" s="17">
        <f t="shared" si="135"/>
        <v>0</v>
      </c>
      <c r="Q364" s="17">
        <f t="shared" si="140"/>
        <v>0</v>
      </c>
      <c r="R364" s="49"/>
    </row>
    <row r="365" spans="2:19" x14ac:dyDescent="0.25">
      <c r="B365" s="48">
        <f>IF(F365&lt;&gt;"",1+MAX($B$22:B364),"")</f>
        <v>189</v>
      </c>
      <c r="C365" s="52" t="s">
        <v>269</v>
      </c>
      <c r="D365" s="8" t="s">
        <v>346</v>
      </c>
      <c r="E365" s="23" t="s">
        <v>96</v>
      </c>
      <c r="F365" s="39">
        <v>1</v>
      </c>
      <c r="G365" s="17">
        <v>9880</v>
      </c>
      <c r="H365" s="17">
        <f t="shared" si="136"/>
        <v>10868</v>
      </c>
      <c r="I365" s="17">
        <f t="shared" si="134"/>
        <v>10868</v>
      </c>
      <c r="J365" s="15">
        <v>15.6</v>
      </c>
      <c r="K365" s="10">
        <f t="shared" si="137"/>
        <v>15.6</v>
      </c>
      <c r="L365" s="88" t="s">
        <v>386</v>
      </c>
      <c r="M365" s="89">
        <v>53.15</v>
      </c>
      <c r="N365" s="17">
        <f t="shared" si="138"/>
        <v>69.201300000000003</v>
      </c>
      <c r="O365" s="17">
        <f t="shared" si="139"/>
        <v>1079.5402799999999</v>
      </c>
      <c r="P365" s="17">
        <f t="shared" si="135"/>
        <v>1079.5402799999999</v>
      </c>
      <c r="Q365" s="17">
        <f t="shared" si="140"/>
        <v>11947.540279999999</v>
      </c>
      <c r="R365" s="49"/>
    </row>
    <row r="366" spans="2:19" x14ac:dyDescent="0.25">
      <c r="B366" s="48" t="str">
        <f>IF(F366&lt;&gt;"",1+MAX($B$22:B365),"")</f>
        <v/>
      </c>
      <c r="C366" s="52"/>
      <c r="D366" s="8"/>
      <c r="E366" s="23"/>
      <c r="F366" s="39"/>
      <c r="G366" s="17"/>
      <c r="H366" s="17">
        <f t="shared" si="136"/>
        <v>0</v>
      </c>
      <c r="I366" s="17">
        <f t="shared" si="134"/>
        <v>0</v>
      </c>
      <c r="J366" s="15"/>
      <c r="K366" s="10">
        <f t="shared" si="137"/>
        <v>0</v>
      </c>
      <c r="L366" s="10"/>
      <c r="M366" s="17"/>
      <c r="N366" s="17">
        <f t="shared" si="138"/>
        <v>0</v>
      </c>
      <c r="O366" s="17">
        <f t="shared" si="139"/>
        <v>0</v>
      </c>
      <c r="P366" s="17">
        <f t="shared" si="135"/>
        <v>0</v>
      </c>
      <c r="Q366" s="17">
        <f t="shared" si="140"/>
        <v>0</v>
      </c>
      <c r="R366" s="49"/>
    </row>
    <row r="367" spans="2:19" s="12" customFormat="1" ht="12.75" customHeight="1" x14ac:dyDescent="0.25">
      <c r="B367" s="13" t="str">
        <f>IF(F367&lt;&gt;"",1+MAX($B$22:B366),"")</f>
        <v/>
      </c>
      <c r="C367" s="13" t="s">
        <v>51</v>
      </c>
      <c r="D367" s="6" t="s">
        <v>22</v>
      </c>
      <c r="E367" s="121" t="s">
        <v>61</v>
      </c>
      <c r="F367" s="121"/>
      <c r="G367" s="121"/>
      <c r="H367" s="53">
        <f>SUM(I368:I376)</f>
        <v>4213.0000000000009</v>
      </c>
      <c r="I367" s="7">
        <f t="shared" ref="I367:I426" si="141">F367*H367</f>
        <v>0</v>
      </c>
      <c r="J367" s="7"/>
      <c r="K367" s="122" t="s">
        <v>62</v>
      </c>
      <c r="L367" s="122"/>
      <c r="M367" s="122"/>
      <c r="N367" s="122"/>
      <c r="O367" s="53">
        <f>SUM(P368:P376)</f>
        <v>2279.8020000000001</v>
      </c>
      <c r="P367" s="7">
        <f t="shared" ref="P367:P426" si="142">F367*O367</f>
        <v>0</v>
      </c>
      <c r="Q367" s="47">
        <f>SUM(Q368:Q376)</f>
        <v>6492.8020000000006</v>
      </c>
      <c r="R367" s="47">
        <f>(Q367)+(H367*$Q$8)+(O367*$Q$9)+(Q367*$Q$10)+($Q$11*((Q367)+(H367*$Q$8)+(O367*$Q$9)+(Q367*$Q$10)))+(Q367*$Q$12)</f>
        <v>9195.6128420000005</v>
      </c>
    </row>
    <row r="368" spans="2:19" x14ac:dyDescent="0.25">
      <c r="B368" s="48" t="str">
        <f>IF(F368&lt;&gt;"",1+MAX($B$22:B367),"")</f>
        <v/>
      </c>
      <c r="C368" s="52"/>
      <c r="D368" s="8"/>
      <c r="E368" s="23"/>
      <c r="F368" s="39"/>
      <c r="G368" s="17"/>
      <c r="H368" s="17">
        <f t="shared" ref="H368:H376" si="143">G368*$T$2</f>
        <v>0</v>
      </c>
      <c r="I368" s="17">
        <f t="shared" si="141"/>
        <v>0</v>
      </c>
      <c r="J368" s="15"/>
      <c r="K368" s="10">
        <f t="shared" ref="K368:K376" si="144">F368*J368</f>
        <v>0</v>
      </c>
      <c r="L368" s="10"/>
      <c r="M368" s="17"/>
      <c r="N368" s="17">
        <f t="shared" ref="N368:N376" si="145">M368*$U$2</f>
        <v>0</v>
      </c>
      <c r="O368" s="17">
        <f t="shared" ref="O368:O376" si="146">J368*N368</f>
        <v>0</v>
      </c>
      <c r="P368" s="17">
        <f t="shared" si="142"/>
        <v>0</v>
      </c>
      <c r="Q368" s="17">
        <f t="shared" ref="Q368:Q376" si="147">I368+P368</f>
        <v>0</v>
      </c>
      <c r="R368" s="49"/>
    </row>
    <row r="369" spans="2:19" x14ac:dyDescent="0.25">
      <c r="B369" s="67" t="str">
        <f>IF(F369&lt;&gt;"",1+MAX($B$22:B368),"")</f>
        <v/>
      </c>
      <c r="C369" s="68"/>
      <c r="D369" s="69" t="s">
        <v>121</v>
      </c>
      <c r="E369" s="23"/>
      <c r="F369" s="39"/>
      <c r="G369" s="17"/>
      <c r="H369" s="17">
        <f t="shared" si="143"/>
        <v>0</v>
      </c>
      <c r="I369" s="17">
        <f t="shared" si="141"/>
        <v>0</v>
      </c>
      <c r="J369" s="15"/>
      <c r="K369" s="10">
        <f t="shared" si="144"/>
        <v>0</v>
      </c>
      <c r="L369" s="10"/>
      <c r="M369" s="17"/>
      <c r="N369" s="17">
        <f t="shared" si="145"/>
        <v>0</v>
      </c>
      <c r="O369" s="17">
        <f t="shared" si="146"/>
        <v>0</v>
      </c>
      <c r="P369" s="17">
        <f t="shared" si="142"/>
        <v>0</v>
      </c>
      <c r="Q369" s="17">
        <f t="shared" si="147"/>
        <v>0</v>
      </c>
      <c r="R369" s="49"/>
    </row>
    <row r="370" spans="2:19" x14ac:dyDescent="0.25">
      <c r="B370" s="48">
        <f>IF(F370&lt;&gt;"",1+MAX($B$22:B369),"")</f>
        <v>190</v>
      </c>
      <c r="C370" s="119" t="s">
        <v>278</v>
      </c>
      <c r="D370" s="8" t="s">
        <v>338</v>
      </c>
      <c r="E370" s="23" t="s">
        <v>96</v>
      </c>
      <c r="F370" s="39">
        <v>2</v>
      </c>
      <c r="G370" s="17">
        <v>460</v>
      </c>
      <c r="H370" s="17">
        <f t="shared" si="143"/>
        <v>506.00000000000006</v>
      </c>
      <c r="I370" s="17">
        <f t="shared" si="141"/>
        <v>1012.0000000000001</v>
      </c>
      <c r="J370" s="15">
        <v>4.5172413793103452</v>
      </c>
      <c r="K370" s="10">
        <f t="shared" si="144"/>
        <v>9.0344827586206904</v>
      </c>
      <c r="L370" s="88" t="s">
        <v>401</v>
      </c>
      <c r="M370" s="89">
        <v>58</v>
      </c>
      <c r="N370" s="17">
        <f t="shared" si="145"/>
        <v>75.516000000000005</v>
      </c>
      <c r="O370" s="17">
        <f t="shared" si="146"/>
        <v>341.12400000000002</v>
      </c>
      <c r="P370" s="17">
        <f t="shared" si="142"/>
        <v>682.24800000000005</v>
      </c>
      <c r="Q370" s="17">
        <f t="shared" si="147"/>
        <v>1694.248</v>
      </c>
      <c r="R370" s="49"/>
    </row>
    <row r="371" spans="2:19" x14ac:dyDescent="0.25">
      <c r="B371" s="48">
        <f>IF(F371&lt;&gt;"",1+MAX($B$22:B370),"")</f>
        <v>191</v>
      </c>
      <c r="C371" s="119"/>
      <c r="D371" s="8" t="s">
        <v>339</v>
      </c>
      <c r="E371" s="23" t="s">
        <v>96</v>
      </c>
      <c r="F371" s="39">
        <v>1</v>
      </c>
      <c r="G371" s="17">
        <v>360</v>
      </c>
      <c r="H371" s="17">
        <f t="shared" si="143"/>
        <v>396.00000000000006</v>
      </c>
      <c r="I371" s="17">
        <f t="shared" si="141"/>
        <v>396.00000000000006</v>
      </c>
      <c r="J371" s="15">
        <v>5.4655172413793105</v>
      </c>
      <c r="K371" s="10">
        <f t="shared" si="144"/>
        <v>5.4655172413793105</v>
      </c>
      <c r="L371" s="88" t="s">
        <v>401</v>
      </c>
      <c r="M371" s="89">
        <v>58</v>
      </c>
      <c r="N371" s="17">
        <f t="shared" si="145"/>
        <v>75.516000000000005</v>
      </c>
      <c r="O371" s="17">
        <f t="shared" si="146"/>
        <v>412.73400000000004</v>
      </c>
      <c r="P371" s="17">
        <f t="shared" si="142"/>
        <v>412.73400000000004</v>
      </c>
      <c r="Q371" s="17">
        <f t="shared" si="147"/>
        <v>808.73400000000015</v>
      </c>
      <c r="R371" s="49"/>
    </row>
    <row r="372" spans="2:19" x14ac:dyDescent="0.25">
      <c r="B372" s="48">
        <f>IF(F372&lt;&gt;"",1+MAX($B$22:B371),"")</f>
        <v>192</v>
      </c>
      <c r="C372" s="119"/>
      <c r="D372" s="8" t="s">
        <v>340</v>
      </c>
      <c r="E372" s="23" t="s">
        <v>96</v>
      </c>
      <c r="F372" s="39">
        <v>1</v>
      </c>
      <c r="G372" s="17">
        <v>360</v>
      </c>
      <c r="H372" s="17">
        <f t="shared" si="143"/>
        <v>396.00000000000006</v>
      </c>
      <c r="I372" s="17">
        <f t="shared" si="141"/>
        <v>396.00000000000006</v>
      </c>
      <c r="J372" s="15">
        <v>5.4655172413793105</v>
      </c>
      <c r="K372" s="10">
        <f t="shared" si="144"/>
        <v>5.4655172413793105</v>
      </c>
      <c r="L372" s="88" t="s">
        <v>401</v>
      </c>
      <c r="M372" s="89">
        <v>58</v>
      </c>
      <c r="N372" s="17">
        <f t="shared" si="145"/>
        <v>75.516000000000005</v>
      </c>
      <c r="O372" s="17">
        <f t="shared" si="146"/>
        <v>412.73400000000004</v>
      </c>
      <c r="P372" s="17">
        <f t="shared" si="142"/>
        <v>412.73400000000004</v>
      </c>
      <c r="Q372" s="17">
        <f t="shared" si="147"/>
        <v>808.73400000000015</v>
      </c>
      <c r="R372" s="49"/>
    </row>
    <row r="373" spans="2:19" x14ac:dyDescent="0.25">
      <c r="B373" s="48">
        <f>IF(F373&lt;&gt;"",1+MAX($B$22:B372),"")</f>
        <v>193</v>
      </c>
      <c r="C373" s="119"/>
      <c r="D373" s="8" t="s">
        <v>341</v>
      </c>
      <c r="E373" s="23" t="s">
        <v>96</v>
      </c>
      <c r="F373" s="39">
        <v>1</v>
      </c>
      <c r="G373" s="17">
        <v>1850</v>
      </c>
      <c r="H373" s="17">
        <f t="shared" si="143"/>
        <v>2035.0000000000002</v>
      </c>
      <c r="I373" s="17">
        <f t="shared" si="141"/>
        <v>2035.0000000000002</v>
      </c>
      <c r="J373" s="15">
        <v>5.9482758620689653</v>
      </c>
      <c r="K373" s="10">
        <f t="shared" si="144"/>
        <v>5.9482758620689653</v>
      </c>
      <c r="L373" s="88" t="s">
        <v>401</v>
      </c>
      <c r="M373" s="89">
        <v>58</v>
      </c>
      <c r="N373" s="17">
        <f t="shared" si="145"/>
        <v>75.516000000000005</v>
      </c>
      <c r="O373" s="17">
        <f t="shared" si="146"/>
        <v>449.19</v>
      </c>
      <c r="P373" s="17">
        <f t="shared" si="142"/>
        <v>449.19</v>
      </c>
      <c r="Q373" s="17">
        <f t="shared" si="147"/>
        <v>2484.19</v>
      </c>
      <c r="R373" s="49"/>
    </row>
    <row r="374" spans="2:19" x14ac:dyDescent="0.25">
      <c r="B374" s="48">
        <f>IF(F374&lt;&gt;"",1+MAX($B$22:B373),"")</f>
        <v>194</v>
      </c>
      <c r="C374" s="119"/>
      <c r="D374" s="8" t="s">
        <v>342</v>
      </c>
      <c r="E374" s="23" t="s">
        <v>96</v>
      </c>
      <c r="F374" s="39">
        <v>1</v>
      </c>
      <c r="G374" s="17">
        <v>340</v>
      </c>
      <c r="H374" s="17">
        <f t="shared" si="143"/>
        <v>374.00000000000006</v>
      </c>
      <c r="I374" s="17">
        <f t="shared" si="141"/>
        <v>374.00000000000006</v>
      </c>
      <c r="J374" s="15">
        <v>4.2758620689655169</v>
      </c>
      <c r="K374" s="10">
        <f t="shared" si="144"/>
        <v>4.2758620689655169</v>
      </c>
      <c r="L374" s="88" t="s">
        <v>401</v>
      </c>
      <c r="M374" s="89">
        <v>58</v>
      </c>
      <c r="N374" s="17">
        <f t="shared" si="145"/>
        <v>75.516000000000005</v>
      </c>
      <c r="O374" s="17">
        <f t="shared" si="146"/>
        <v>322.89600000000002</v>
      </c>
      <c r="P374" s="17">
        <f t="shared" si="142"/>
        <v>322.89600000000002</v>
      </c>
      <c r="Q374" s="17">
        <f t="shared" si="147"/>
        <v>696.89600000000007</v>
      </c>
      <c r="R374" s="49"/>
    </row>
    <row r="375" spans="2:19" x14ac:dyDescent="0.25">
      <c r="B375" s="48" t="str">
        <f>IF(F375&lt;&gt;"",1+MAX($B$22:B374),"")</f>
        <v/>
      </c>
      <c r="C375" s="52"/>
      <c r="D375" s="51" t="s">
        <v>343</v>
      </c>
      <c r="E375" s="23"/>
      <c r="F375" s="39"/>
      <c r="G375" s="17"/>
      <c r="H375" s="17">
        <f t="shared" si="143"/>
        <v>0</v>
      </c>
      <c r="I375" s="17">
        <f t="shared" si="141"/>
        <v>0</v>
      </c>
      <c r="J375" s="15"/>
      <c r="K375" s="10">
        <f t="shared" si="144"/>
        <v>0</v>
      </c>
      <c r="L375" s="10"/>
      <c r="M375" s="17"/>
      <c r="N375" s="17">
        <f t="shared" si="145"/>
        <v>0</v>
      </c>
      <c r="O375" s="17">
        <f t="shared" si="146"/>
        <v>0</v>
      </c>
      <c r="P375" s="17">
        <f t="shared" si="142"/>
        <v>0</v>
      </c>
      <c r="Q375" s="17">
        <f t="shared" si="147"/>
        <v>0</v>
      </c>
      <c r="R375" s="49"/>
    </row>
    <row r="376" spans="2:19" x14ac:dyDescent="0.25">
      <c r="B376" s="48" t="str">
        <f>IF(F376&lt;&gt;"",1+MAX($B$22:B375),"")</f>
        <v/>
      </c>
      <c r="C376" s="71"/>
      <c r="D376" s="8"/>
      <c r="E376" s="23"/>
      <c r="F376" s="39"/>
      <c r="G376" s="17"/>
      <c r="H376" s="17">
        <f t="shared" si="143"/>
        <v>0</v>
      </c>
      <c r="I376" s="17">
        <f t="shared" si="141"/>
        <v>0</v>
      </c>
      <c r="J376" s="15"/>
      <c r="K376" s="10">
        <f t="shared" si="144"/>
        <v>0</v>
      </c>
      <c r="L376" s="10"/>
      <c r="M376" s="17"/>
      <c r="N376" s="17">
        <f t="shared" si="145"/>
        <v>0</v>
      </c>
      <c r="O376" s="17">
        <f t="shared" si="146"/>
        <v>0</v>
      </c>
      <c r="P376" s="17">
        <f t="shared" si="142"/>
        <v>0</v>
      </c>
      <c r="Q376" s="17">
        <f t="shared" si="147"/>
        <v>0</v>
      </c>
      <c r="R376" s="49"/>
    </row>
    <row r="377" spans="2:19" s="12" customFormat="1" ht="12.75" customHeight="1" x14ac:dyDescent="0.25">
      <c r="B377" s="13" t="str">
        <f>IF(F377&lt;&gt;"",1+MAX($B$22:B376),"")</f>
        <v/>
      </c>
      <c r="C377" s="13" t="s">
        <v>52</v>
      </c>
      <c r="D377" s="6" t="s">
        <v>27</v>
      </c>
      <c r="E377" s="121" t="s">
        <v>61</v>
      </c>
      <c r="F377" s="121"/>
      <c r="G377" s="121"/>
      <c r="H377" s="53">
        <f>SUM(I378:I381)</f>
        <v>7150.0000000000009</v>
      </c>
      <c r="I377" s="7">
        <f t="shared" si="141"/>
        <v>0</v>
      </c>
      <c r="J377" s="7"/>
      <c r="K377" s="122" t="s">
        <v>62</v>
      </c>
      <c r="L377" s="122"/>
      <c r="M377" s="122"/>
      <c r="N377" s="122"/>
      <c r="O377" s="53">
        <f>SUM(P378:P381)</f>
        <v>8603.616</v>
      </c>
      <c r="P377" s="7">
        <f t="shared" si="142"/>
        <v>0</v>
      </c>
      <c r="Q377" s="47">
        <f>SUM(Q378:Q381)</f>
        <v>15753.616000000002</v>
      </c>
      <c r="R377" s="47">
        <f>(Q377)+(H377*$Q$8)+(O377*$Q$9)+(Q377*$Q$10)+($Q$11*((Q377)+(H377*$Q$8)+(O377*$Q$9)+(Q377*$Q$10)))+(Q377*$Q$12)</f>
        <v>22362.263432</v>
      </c>
    </row>
    <row r="378" spans="2:19" x14ac:dyDescent="0.25">
      <c r="B378" s="48" t="str">
        <f>IF(F378&lt;&gt;"",1+MAX($B$22:B377),"")</f>
        <v/>
      </c>
      <c r="C378" s="52"/>
      <c r="D378" s="8"/>
      <c r="E378" s="23"/>
      <c r="F378" s="39"/>
      <c r="G378" s="17"/>
      <c r="H378" s="17">
        <f t="shared" ref="H378:H381" si="148">G378*$T$2</f>
        <v>0</v>
      </c>
      <c r="I378" s="17">
        <f t="shared" si="141"/>
        <v>0</v>
      </c>
      <c r="J378" s="15"/>
      <c r="K378" s="10">
        <f t="shared" ref="K378:K381" si="149">F378*J378</f>
        <v>0</v>
      </c>
      <c r="L378" s="10"/>
      <c r="M378" s="17"/>
      <c r="N378" s="17">
        <f t="shared" ref="N378:N381" si="150">M378*$U$2</f>
        <v>0</v>
      </c>
      <c r="O378" s="17">
        <f t="shared" ref="O378:O381" si="151">J378*N378</f>
        <v>0</v>
      </c>
      <c r="P378" s="17">
        <f t="shared" si="142"/>
        <v>0</v>
      </c>
      <c r="Q378" s="17">
        <f t="shared" ref="Q378:Q381" si="152">I378+P378</f>
        <v>0</v>
      </c>
      <c r="R378" s="49"/>
    </row>
    <row r="379" spans="2:19" x14ac:dyDescent="0.25">
      <c r="B379" s="67" t="str">
        <f>IF(F379&lt;&gt;"",1+MAX($B$22:B378),"")</f>
        <v/>
      </c>
      <c r="C379" s="68"/>
      <c r="D379" s="69" t="s">
        <v>347</v>
      </c>
      <c r="E379" s="23"/>
      <c r="F379" s="39"/>
      <c r="G379" s="17"/>
      <c r="H379" s="17">
        <f t="shared" si="148"/>
        <v>0</v>
      </c>
      <c r="I379" s="17">
        <f t="shared" si="141"/>
        <v>0</v>
      </c>
      <c r="J379" s="15"/>
      <c r="K379" s="10">
        <f t="shared" si="149"/>
        <v>0</v>
      </c>
      <c r="L379" s="10"/>
      <c r="M379" s="17"/>
      <c r="N379" s="17">
        <f t="shared" si="150"/>
        <v>0</v>
      </c>
      <c r="O379" s="17">
        <f t="shared" si="151"/>
        <v>0</v>
      </c>
      <c r="P379" s="17">
        <f t="shared" si="142"/>
        <v>0</v>
      </c>
      <c r="Q379" s="17">
        <f t="shared" si="152"/>
        <v>0</v>
      </c>
      <c r="R379" s="49"/>
    </row>
    <row r="380" spans="2:19" ht="27.6" x14ac:dyDescent="0.25">
      <c r="B380" s="48">
        <f>IF(F380&lt;&gt;"",1+MAX($B$22:B379),"")</f>
        <v>195</v>
      </c>
      <c r="C380" s="52" t="s">
        <v>278</v>
      </c>
      <c r="D380" s="8" t="s">
        <v>348</v>
      </c>
      <c r="E380" s="23" t="s">
        <v>60</v>
      </c>
      <c r="F380" s="39">
        <v>1</v>
      </c>
      <c r="G380" s="17">
        <v>6500</v>
      </c>
      <c r="H380" s="17">
        <f t="shared" si="148"/>
        <v>7150.0000000000009</v>
      </c>
      <c r="I380" s="17">
        <f t="shared" si="141"/>
        <v>7150.0000000000009</v>
      </c>
      <c r="J380" s="15">
        <v>112</v>
      </c>
      <c r="K380" s="10">
        <f>F380*J380</f>
        <v>112</v>
      </c>
      <c r="L380" s="88" t="s">
        <v>402</v>
      </c>
      <c r="M380" s="89">
        <v>59</v>
      </c>
      <c r="N380" s="17">
        <f t="shared" si="150"/>
        <v>76.817999999999998</v>
      </c>
      <c r="O380" s="17">
        <f t="shared" si="151"/>
        <v>8603.616</v>
      </c>
      <c r="P380" s="17">
        <f t="shared" si="142"/>
        <v>8603.616</v>
      </c>
      <c r="Q380" s="17">
        <f t="shared" si="152"/>
        <v>15753.616000000002</v>
      </c>
      <c r="R380" s="49"/>
    </row>
    <row r="381" spans="2:19" x14ac:dyDescent="0.25">
      <c r="B381" s="48" t="str">
        <f>IF(F381&lt;&gt;"",1+MAX($B$22:B380),"")</f>
        <v/>
      </c>
      <c r="C381" s="52"/>
      <c r="D381" s="8"/>
      <c r="E381" s="23"/>
      <c r="F381" s="39"/>
      <c r="G381" s="17"/>
      <c r="H381" s="17">
        <f t="shared" si="148"/>
        <v>0</v>
      </c>
      <c r="I381" s="17">
        <f t="shared" si="141"/>
        <v>0</v>
      </c>
      <c r="J381" s="15"/>
      <c r="K381" s="10">
        <f t="shared" si="149"/>
        <v>0</v>
      </c>
      <c r="L381" s="10"/>
      <c r="M381" s="17"/>
      <c r="N381" s="17">
        <f t="shared" si="150"/>
        <v>0</v>
      </c>
      <c r="O381" s="17">
        <f t="shared" si="151"/>
        <v>0</v>
      </c>
      <c r="P381" s="17">
        <f t="shared" si="142"/>
        <v>0</v>
      </c>
      <c r="Q381" s="17">
        <f t="shared" si="152"/>
        <v>0</v>
      </c>
      <c r="R381" s="49"/>
      <c r="S381" s="12"/>
    </row>
    <row r="382" spans="2:19" s="12" customFormat="1" ht="12.75" customHeight="1" x14ac:dyDescent="0.25">
      <c r="B382" s="13" t="str">
        <f>IF(F382&lt;&gt;"",1+MAX($B$22:B381),"")</f>
        <v/>
      </c>
      <c r="C382" s="13" t="s">
        <v>53</v>
      </c>
      <c r="D382" s="6" t="s">
        <v>23</v>
      </c>
      <c r="E382" s="121" t="s">
        <v>61</v>
      </c>
      <c r="F382" s="121"/>
      <c r="G382" s="121"/>
      <c r="H382" s="53">
        <f>SUM(I383:I414)</f>
        <v>26145.295000000002</v>
      </c>
      <c r="I382" s="7">
        <f t="shared" si="141"/>
        <v>0</v>
      </c>
      <c r="J382" s="7"/>
      <c r="K382" s="122" t="s">
        <v>62</v>
      </c>
      <c r="L382" s="122"/>
      <c r="M382" s="122"/>
      <c r="N382" s="122"/>
      <c r="O382" s="53">
        <f>SUM(P383:P414)</f>
        <v>14370.019192199998</v>
      </c>
      <c r="P382" s="7">
        <f t="shared" si="142"/>
        <v>0</v>
      </c>
      <c r="Q382" s="47">
        <f>SUM(Q383:Q414)</f>
        <v>40515.314192200007</v>
      </c>
      <c r="R382" s="47">
        <f>(Q382)+(H382*$Q$8)+(O382*$Q$9)+(Q382*$Q$10)+($Q$11*((Q382)+(H382*$Q$8)+(O382*$Q$9)+(Q382*$Q$10)))+(Q382*$Q$12)</f>
        <v>57383.328497689407</v>
      </c>
    </row>
    <row r="383" spans="2:19" x14ac:dyDescent="0.25">
      <c r="B383" s="48" t="str">
        <f>IF(F383&lt;&gt;"",1+MAX($B$22:B382),"")</f>
        <v/>
      </c>
      <c r="C383" s="52"/>
      <c r="D383" s="8"/>
      <c r="E383" s="23"/>
      <c r="F383" s="39"/>
      <c r="G383" s="17"/>
      <c r="H383" s="17">
        <f t="shared" ref="H383:H414" si="153">G383*$T$2</f>
        <v>0</v>
      </c>
      <c r="I383" s="17">
        <f t="shared" si="141"/>
        <v>0</v>
      </c>
      <c r="J383" s="15"/>
      <c r="K383" s="10">
        <f t="shared" ref="K383:K414" si="154">F383*J383</f>
        <v>0</v>
      </c>
      <c r="L383" s="10"/>
      <c r="M383" s="17"/>
      <c r="N383" s="17">
        <f t="shared" ref="N383:N414" si="155">M383*$U$2</f>
        <v>0</v>
      </c>
      <c r="O383" s="17">
        <f t="shared" ref="O383:O414" si="156">J383*N383</f>
        <v>0</v>
      </c>
      <c r="P383" s="17">
        <f t="shared" si="142"/>
        <v>0</v>
      </c>
      <c r="Q383" s="17">
        <f t="shared" ref="Q383:Q414" si="157">I383+P383</f>
        <v>0</v>
      </c>
      <c r="R383" s="49"/>
    </row>
    <row r="384" spans="2:19" x14ac:dyDescent="0.25">
      <c r="B384" s="67" t="str">
        <f>IF(F384&lt;&gt;"",1+MAX($B$22:B383),"")</f>
        <v/>
      </c>
      <c r="C384" s="68"/>
      <c r="D384" s="69" t="s">
        <v>122</v>
      </c>
      <c r="E384" s="23"/>
      <c r="F384" s="39"/>
      <c r="G384" s="17"/>
      <c r="H384" s="17">
        <f t="shared" si="153"/>
        <v>0</v>
      </c>
      <c r="I384" s="17">
        <f t="shared" si="141"/>
        <v>0</v>
      </c>
      <c r="J384" s="15"/>
      <c r="K384" s="10">
        <f t="shared" si="154"/>
        <v>0</v>
      </c>
      <c r="L384" s="10"/>
      <c r="M384" s="17"/>
      <c r="N384" s="17">
        <f t="shared" si="155"/>
        <v>0</v>
      </c>
      <c r="O384" s="17">
        <f t="shared" si="156"/>
        <v>0</v>
      </c>
      <c r="P384" s="17">
        <f t="shared" si="142"/>
        <v>0</v>
      </c>
      <c r="Q384" s="17">
        <f t="shared" si="157"/>
        <v>0</v>
      </c>
      <c r="R384" s="49"/>
    </row>
    <row r="385" spans="2:19" x14ac:dyDescent="0.25">
      <c r="B385" s="48">
        <f>IF(F385&lt;&gt;"",1+MAX($B$22:B384),"")</f>
        <v>196</v>
      </c>
      <c r="C385" s="119" t="s">
        <v>349</v>
      </c>
      <c r="D385" s="8" t="s">
        <v>350</v>
      </c>
      <c r="E385" s="23" t="s">
        <v>96</v>
      </c>
      <c r="F385" s="39">
        <v>40</v>
      </c>
      <c r="G385" s="17">
        <v>170</v>
      </c>
      <c r="H385" s="17">
        <f t="shared" si="153"/>
        <v>187.00000000000003</v>
      </c>
      <c r="I385" s="17">
        <f t="shared" si="141"/>
        <v>7480.0000000000009</v>
      </c>
      <c r="J385" s="15">
        <v>1</v>
      </c>
      <c r="K385" s="10">
        <f t="shared" si="154"/>
        <v>40</v>
      </c>
      <c r="L385" s="10" t="s">
        <v>403</v>
      </c>
      <c r="M385" s="17">
        <v>61.3</v>
      </c>
      <c r="N385" s="17">
        <f t="shared" si="155"/>
        <v>79.812600000000003</v>
      </c>
      <c r="O385" s="17">
        <f t="shared" si="156"/>
        <v>79.812600000000003</v>
      </c>
      <c r="P385" s="17">
        <f t="shared" si="142"/>
        <v>3192.5039999999999</v>
      </c>
      <c r="Q385" s="17">
        <f t="shared" si="157"/>
        <v>10672.504000000001</v>
      </c>
      <c r="R385" s="49"/>
      <c r="S385" s="2"/>
    </row>
    <row r="386" spans="2:19" x14ac:dyDescent="0.25">
      <c r="B386" s="48">
        <f>IF(F386&lt;&gt;"",1+MAX($B$22:B385),"")</f>
        <v>197</v>
      </c>
      <c r="C386" s="119"/>
      <c r="D386" s="8" t="s">
        <v>351</v>
      </c>
      <c r="E386" s="23" t="s">
        <v>96</v>
      </c>
      <c r="F386" s="39">
        <v>3</v>
      </c>
      <c r="G386" s="17">
        <v>245</v>
      </c>
      <c r="H386" s="17">
        <f t="shared" si="153"/>
        <v>269.5</v>
      </c>
      <c r="I386" s="17">
        <f t="shared" si="141"/>
        <v>808.5</v>
      </c>
      <c r="J386" s="15">
        <v>1.125</v>
      </c>
      <c r="K386" s="10">
        <f t="shared" ref="K386:K389" si="158">F386*J386</f>
        <v>3.375</v>
      </c>
      <c r="L386" s="10" t="s">
        <v>403</v>
      </c>
      <c r="M386" s="17">
        <v>61.3</v>
      </c>
      <c r="N386" s="17">
        <f t="shared" si="155"/>
        <v>79.812600000000003</v>
      </c>
      <c r="O386" s="17">
        <f t="shared" si="156"/>
        <v>89.789175</v>
      </c>
      <c r="P386" s="17">
        <f t="shared" si="142"/>
        <v>269.367525</v>
      </c>
      <c r="Q386" s="17">
        <f t="shared" si="157"/>
        <v>1077.8675250000001</v>
      </c>
      <c r="R386" s="49"/>
      <c r="S386" s="2"/>
    </row>
    <row r="387" spans="2:19" x14ac:dyDescent="0.25">
      <c r="B387" s="48">
        <f>IF(F387&lt;&gt;"",1+MAX($B$22:B386),"")</f>
        <v>198</v>
      </c>
      <c r="C387" s="119"/>
      <c r="D387" s="8" t="s">
        <v>352</v>
      </c>
      <c r="E387" s="23" t="s">
        <v>96</v>
      </c>
      <c r="F387" s="39">
        <v>1</v>
      </c>
      <c r="G387" s="17">
        <v>235</v>
      </c>
      <c r="H387" s="17">
        <f t="shared" si="153"/>
        <v>258.5</v>
      </c>
      <c r="I387" s="17">
        <f t="shared" si="141"/>
        <v>258.5</v>
      </c>
      <c r="J387" s="15">
        <v>1</v>
      </c>
      <c r="K387" s="10">
        <f t="shared" si="158"/>
        <v>1</v>
      </c>
      <c r="L387" s="10" t="s">
        <v>403</v>
      </c>
      <c r="M387" s="17">
        <v>61.3</v>
      </c>
      <c r="N387" s="17">
        <f t="shared" si="155"/>
        <v>79.812600000000003</v>
      </c>
      <c r="O387" s="17">
        <f t="shared" si="156"/>
        <v>79.812600000000003</v>
      </c>
      <c r="P387" s="17">
        <f t="shared" si="142"/>
        <v>79.812600000000003</v>
      </c>
      <c r="Q387" s="17">
        <f t="shared" si="157"/>
        <v>338.31259999999997</v>
      </c>
      <c r="R387" s="49"/>
      <c r="S387" s="2"/>
    </row>
    <row r="388" spans="2:19" x14ac:dyDescent="0.25">
      <c r="B388" s="48">
        <f>IF(F388&lt;&gt;"",1+MAX($B$22:B387),"")</f>
        <v>199</v>
      </c>
      <c r="C388" s="119"/>
      <c r="D388" s="8" t="s">
        <v>353</v>
      </c>
      <c r="E388" s="23" t="s">
        <v>96</v>
      </c>
      <c r="F388" s="39">
        <v>7</v>
      </c>
      <c r="G388" s="17">
        <v>255</v>
      </c>
      <c r="H388" s="17">
        <f t="shared" si="153"/>
        <v>280.5</v>
      </c>
      <c r="I388" s="17">
        <f t="shared" si="141"/>
        <v>1963.5</v>
      </c>
      <c r="J388" s="15">
        <v>1</v>
      </c>
      <c r="K388" s="10">
        <f t="shared" si="158"/>
        <v>7</v>
      </c>
      <c r="L388" s="10" t="s">
        <v>403</v>
      </c>
      <c r="M388" s="17">
        <v>61.3</v>
      </c>
      <c r="N388" s="17">
        <f t="shared" si="155"/>
        <v>79.812600000000003</v>
      </c>
      <c r="O388" s="17">
        <f t="shared" si="156"/>
        <v>79.812600000000003</v>
      </c>
      <c r="P388" s="17">
        <f t="shared" si="142"/>
        <v>558.68820000000005</v>
      </c>
      <c r="Q388" s="17">
        <f t="shared" si="157"/>
        <v>2522.1882000000001</v>
      </c>
      <c r="R388" s="49"/>
      <c r="S388" s="2"/>
    </row>
    <row r="389" spans="2:19" ht="27.6" x14ac:dyDescent="0.25">
      <c r="B389" s="48">
        <f>IF(F389&lt;&gt;"",1+MAX($B$22:B388),"")</f>
        <v>200</v>
      </c>
      <c r="C389" s="119"/>
      <c r="D389" s="8" t="s">
        <v>354</v>
      </c>
      <c r="E389" s="23" t="s">
        <v>96</v>
      </c>
      <c r="F389" s="39">
        <v>1</v>
      </c>
      <c r="G389" s="17">
        <v>200</v>
      </c>
      <c r="H389" s="17">
        <f t="shared" si="153"/>
        <v>220.00000000000003</v>
      </c>
      <c r="I389" s="17">
        <f t="shared" si="141"/>
        <v>220.00000000000003</v>
      </c>
      <c r="J389" s="15">
        <v>1.25</v>
      </c>
      <c r="K389" s="10">
        <f t="shared" si="158"/>
        <v>1.25</v>
      </c>
      <c r="L389" s="10" t="s">
        <v>403</v>
      </c>
      <c r="M389" s="17">
        <v>61.3</v>
      </c>
      <c r="N389" s="17">
        <f t="shared" si="155"/>
        <v>79.812600000000003</v>
      </c>
      <c r="O389" s="17">
        <f t="shared" si="156"/>
        <v>99.765749999999997</v>
      </c>
      <c r="P389" s="17">
        <f t="shared" si="142"/>
        <v>99.765749999999997</v>
      </c>
      <c r="Q389" s="17">
        <f t="shared" si="157"/>
        <v>319.76575000000003</v>
      </c>
      <c r="R389" s="49"/>
      <c r="S389" s="2"/>
    </row>
    <row r="390" spans="2:19" ht="55.2" x14ac:dyDescent="0.25">
      <c r="B390" s="48" t="str">
        <f>IF(F390&lt;&gt;"",1+MAX($B$22:B389),"")</f>
        <v/>
      </c>
      <c r="C390" s="52"/>
      <c r="D390" s="51" t="s">
        <v>371</v>
      </c>
      <c r="E390" s="23"/>
      <c r="F390" s="39"/>
      <c r="G390" s="17"/>
      <c r="H390" s="17">
        <f t="shared" si="153"/>
        <v>0</v>
      </c>
      <c r="I390" s="17">
        <f t="shared" si="141"/>
        <v>0</v>
      </c>
      <c r="J390" s="15"/>
      <c r="K390" s="10">
        <f t="shared" si="154"/>
        <v>0</v>
      </c>
      <c r="L390" s="10"/>
      <c r="M390" s="17"/>
      <c r="N390" s="17">
        <f t="shared" si="155"/>
        <v>0</v>
      </c>
      <c r="O390" s="17">
        <f t="shared" si="156"/>
        <v>0</v>
      </c>
      <c r="P390" s="17">
        <f t="shared" si="142"/>
        <v>0</v>
      </c>
      <c r="Q390" s="17">
        <f t="shared" si="157"/>
        <v>0</v>
      </c>
      <c r="R390" s="49"/>
    </row>
    <row r="391" spans="2:19" x14ac:dyDescent="0.25">
      <c r="B391" s="48" t="str">
        <f>IF(F391&lt;&gt;"",1+MAX($B$22:B390),"")</f>
        <v/>
      </c>
      <c r="C391" s="52"/>
      <c r="D391" s="8"/>
      <c r="E391" s="23"/>
      <c r="F391" s="39"/>
      <c r="G391" s="17"/>
      <c r="H391" s="17">
        <f t="shared" si="153"/>
        <v>0</v>
      </c>
      <c r="I391" s="17">
        <f t="shared" si="141"/>
        <v>0</v>
      </c>
      <c r="J391" s="15"/>
      <c r="K391" s="10">
        <f t="shared" si="154"/>
        <v>0</v>
      </c>
      <c r="L391" s="10"/>
      <c r="M391" s="17"/>
      <c r="N391" s="17">
        <f t="shared" si="155"/>
        <v>0</v>
      </c>
      <c r="O391" s="17">
        <f t="shared" si="156"/>
        <v>0</v>
      </c>
      <c r="P391" s="17">
        <f t="shared" si="142"/>
        <v>0</v>
      </c>
      <c r="Q391" s="17">
        <f t="shared" si="157"/>
        <v>0</v>
      </c>
      <c r="R391" s="49"/>
    </row>
    <row r="392" spans="2:19" x14ac:dyDescent="0.25">
      <c r="B392" s="79" t="str">
        <f>IF(F392&lt;&gt;"",1+MAX($B$22:B391),"")</f>
        <v/>
      </c>
      <c r="C392" s="84"/>
      <c r="D392" s="80" t="s">
        <v>355</v>
      </c>
      <c r="E392" s="52"/>
      <c r="F392" s="52"/>
      <c r="G392" s="17"/>
      <c r="H392" s="17">
        <f t="shared" si="153"/>
        <v>0</v>
      </c>
      <c r="I392" s="17">
        <f t="shared" si="141"/>
        <v>0</v>
      </c>
      <c r="J392" s="15"/>
      <c r="K392" s="10">
        <f t="shared" si="154"/>
        <v>0</v>
      </c>
      <c r="L392" s="10"/>
      <c r="M392" s="17"/>
      <c r="N392" s="17">
        <f t="shared" si="155"/>
        <v>0</v>
      </c>
      <c r="O392" s="17">
        <f t="shared" si="156"/>
        <v>0</v>
      </c>
      <c r="P392" s="17">
        <f t="shared" si="142"/>
        <v>0</v>
      </c>
      <c r="Q392" s="17">
        <f t="shared" si="157"/>
        <v>0</v>
      </c>
      <c r="R392" s="49"/>
    </row>
    <row r="393" spans="2:19" x14ac:dyDescent="0.25">
      <c r="B393" s="48">
        <f>IF(F393&lt;&gt;"",1+MAX($B$22:B392),"")</f>
        <v>201</v>
      </c>
      <c r="C393" s="119" t="s">
        <v>349</v>
      </c>
      <c r="D393" s="81" t="s">
        <v>356</v>
      </c>
      <c r="E393" s="52" t="s">
        <v>96</v>
      </c>
      <c r="F393" s="52">
        <v>26</v>
      </c>
      <c r="G393" s="90">
        <v>99</v>
      </c>
      <c r="H393" s="90">
        <f t="shared" si="153"/>
        <v>108.9</v>
      </c>
      <c r="I393" s="90">
        <f t="shared" si="141"/>
        <v>2831.4</v>
      </c>
      <c r="J393" s="91">
        <v>0.59699999999999998</v>
      </c>
      <c r="K393" s="92">
        <f t="shared" si="154"/>
        <v>15.521999999999998</v>
      </c>
      <c r="L393" s="92" t="s">
        <v>403</v>
      </c>
      <c r="M393" s="90">
        <v>61.3</v>
      </c>
      <c r="N393" s="17">
        <f t="shared" si="155"/>
        <v>79.812600000000003</v>
      </c>
      <c r="O393" s="17">
        <f t="shared" si="156"/>
        <v>47.648122200000003</v>
      </c>
      <c r="P393" s="17">
        <f t="shared" si="142"/>
        <v>1238.8511772000002</v>
      </c>
      <c r="Q393" s="17">
        <f t="shared" si="157"/>
        <v>4070.2511772000003</v>
      </c>
      <c r="R393" s="49"/>
    </row>
    <row r="394" spans="2:19" x14ac:dyDescent="0.25">
      <c r="B394" s="48">
        <f>IF(F394&lt;&gt;"",1+MAX($B$22:B393),"")</f>
        <v>202</v>
      </c>
      <c r="C394" s="119"/>
      <c r="D394" s="81" t="s">
        <v>357</v>
      </c>
      <c r="E394" s="52" t="s">
        <v>96</v>
      </c>
      <c r="F394" s="52">
        <v>3</v>
      </c>
      <c r="G394" s="90">
        <v>145</v>
      </c>
      <c r="H394" s="90">
        <f t="shared" si="153"/>
        <v>159.5</v>
      </c>
      <c r="I394" s="90">
        <f t="shared" si="141"/>
        <v>478.5</v>
      </c>
      <c r="J394" s="91">
        <v>0.59699999999999998</v>
      </c>
      <c r="K394" s="92">
        <f t="shared" si="154"/>
        <v>1.7909999999999999</v>
      </c>
      <c r="L394" s="92" t="s">
        <v>403</v>
      </c>
      <c r="M394" s="90">
        <v>61.3</v>
      </c>
      <c r="N394" s="17">
        <f t="shared" si="155"/>
        <v>79.812600000000003</v>
      </c>
      <c r="O394" s="17">
        <f t="shared" si="156"/>
        <v>47.648122200000003</v>
      </c>
      <c r="P394" s="17">
        <f t="shared" si="142"/>
        <v>142.94436660000002</v>
      </c>
      <c r="Q394" s="17">
        <f t="shared" si="157"/>
        <v>621.44436659999997</v>
      </c>
      <c r="R394" s="49"/>
    </row>
    <row r="395" spans="2:19" x14ac:dyDescent="0.25">
      <c r="B395" s="48">
        <f>IF(F395&lt;&gt;"",1+MAX($B$22:B394),"")</f>
        <v>203</v>
      </c>
      <c r="C395" s="119"/>
      <c r="D395" s="81" t="s">
        <v>358</v>
      </c>
      <c r="E395" s="52" t="s">
        <v>96</v>
      </c>
      <c r="F395" s="52">
        <v>5</v>
      </c>
      <c r="G395" s="90">
        <v>122</v>
      </c>
      <c r="H395" s="90">
        <f t="shared" si="153"/>
        <v>134.20000000000002</v>
      </c>
      <c r="I395" s="90">
        <f t="shared" si="141"/>
        <v>671.00000000000011</v>
      </c>
      <c r="J395" s="91">
        <v>0.59899999999999998</v>
      </c>
      <c r="K395" s="92">
        <f t="shared" si="154"/>
        <v>2.9950000000000001</v>
      </c>
      <c r="L395" s="92" t="s">
        <v>403</v>
      </c>
      <c r="M395" s="90">
        <v>61.3</v>
      </c>
      <c r="N395" s="17">
        <f t="shared" si="155"/>
        <v>79.812600000000003</v>
      </c>
      <c r="O395" s="17">
        <f t="shared" si="156"/>
        <v>47.807747399999997</v>
      </c>
      <c r="P395" s="17">
        <f t="shared" si="142"/>
        <v>239.03873699999997</v>
      </c>
      <c r="Q395" s="17">
        <f t="shared" si="157"/>
        <v>910.03873700000008</v>
      </c>
      <c r="R395" s="49"/>
    </row>
    <row r="396" spans="2:19" x14ac:dyDescent="0.25">
      <c r="B396" s="48">
        <f>IF(F396&lt;&gt;"",1+MAX($B$22:B395),"")</f>
        <v>204</v>
      </c>
      <c r="C396" s="119"/>
      <c r="D396" s="81" t="s">
        <v>359</v>
      </c>
      <c r="E396" s="52" t="s">
        <v>96</v>
      </c>
      <c r="F396" s="52">
        <v>1</v>
      </c>
      <c r="G396" s="17">
        <v>126</v>
      </c>
      <c r="H396" s="17">
        <f t="shared" si="153"/>
        <v>138.60000000000002</v>
      </c>
      <c r="I396" s="17">
        <f t="shared" si="141"/>
        <v>138.60000000000002</v>
      </c>
      <c r="J396" s="15">
        <v>1.333</v>
      </c>
      <c r="K396" s="10">
        <f t="shared" si="154"/>
        <v>1.333</v>
      </c>
      <c r="L396" s="88" t="s">
        <v>403</v>
      </c>
      <c r="M396" s="89">
        <v>61.3</v>
      </c>
      <c r="N396" s="17">
        <f t="shared" si="155"/>
        <v>79.812600000000003</v>
      </c>
      <c r="O396" s="17">
        <f t="shared" si="156"/>
        <v>106.3901958</v>
      </c>
      <c r="P396" s="17">
        <f t="shared" si="142"/>
        <v>106.3901958</v>
      </c>
      <c r="Q396" s="17">
        <f t="shared" si="157"/>
        <v>244.99019580000004</v>
      </c>
      <c r="R396" s="49"/>
    </row>
    <row r="397" spans="2:19" ht="12.75" customHeight="1" x14ac:dyDescent="0.25">
      <c r="B397" s="48" t="str">
        <f>IF(F397&lt;&gt;"",1+MAX($B$22:B396),"")</f>
        <v/>
      </c>
      <c r="C397" s="71"/>
      <c r="D397" s="81"/>
      <c r="E397" s="52"/>
      <c r="F397" s="52"/>
      <c r="G397" s="17"/>
      <c r="H397" s="17">
        <f t="shared" si="153"/>
        <v>0</v>
      </c>
      <c r="I397" s="17">
        <f t="shared" si="141"/>
        <v>0</v>
      </c>
      <c r="J397" s="15"/>
      <c r="K397" s="10">
        <f t="shared" si="154"/>
        <v>0</v>
      </c>
      <c r="L397" s="10"/>
      <c r="M397" s="17"/>
      <c r="N397" s="17">
        <f t="shared" si="155"/>
        <v>0</v>
      </c>
      <c r="O397" s="17">
        <f t="shared" si="156"/>
        <v>0</v>
      </c>
      <c r="P397" s="17">
        <f t="shared" si="142"/>
        <v>0</v>
      </c>
      <c r="Q397" s="17">
        <f t="shared" si="157"/>
        <v>0</v>
      </c>
      <c r="R397" s="49"/>
    </row>
    <row r="398" spans="2:19" ht="12.75" customHeight="1" x14ac:dyDescent="0.25">
      <c r="B398" s="79" t="str">
        <f>IF(F398&lt;&gt;"",1+MAX($B$22:B397),"")</f>
        <v/>
      </c>
      <c r="C398" s="82"/>
      <c r="D398" s="80" t="s">
        <v>153</v>
      </c>
      <c r="E398" s="52"/>
      <c r="F398" s="52"/>
      <c r="G398" s="17"/>
      <c r="H398" s="17">
        <f t="shared" si="153"/>
        <v>0</v>
      </c>
      <c r="I398" s="17">
        <f t="shared" si="141"/>
        <v>0</v>
      </c>
      <c r="J398" s="15"/>
      <c r="K398" s="10">
        <f t="shared" si="154"/>
        <v>0</v>
      </c>
      <c r="L398" s="10"/>
      <c r="M398" s="17"/>
      <c r="N398" s="17">
        <f t="shared" si="155"/>
        <v>0</v>
      </c>
      <c r="O398" s="17">
        <f t="shared" si="156"/>
        <v>0</v>
      </c>
      <c r="P398" s="17">
        <f t="shared" si="142"/>
        <v>0</v>
      </c>
      <c r="Q398" s="17">
        <f t="shared" si="157"/>
        <v>0</v>
      </c>
      <c r="R398" s="49"/>
    </row>
    <row r="399" spans="2:19" ht="12.75" customHeight="1" x14ac:dyDescent="0.25">
      <c r="B399" s="48">
        <f>IF(F399&lt;&gt;"",1+MAX($B$22:B398),"")</f>
        <v>205</v>
      </c>
      <c r="C399" s="119" t="s">
        <v>349</v>
      </c>
      <c r="D399" s="81" t="s">
        <v>360</v>
      </c>
      <c r="E399" s="52" t="s">
        <v>96</v>
      </c>
      <c r="F399" s="52">
        <v>8</v>
      </c>
      <c r="G399" s="17">
        <v>15.55</v>
      </c>
      <c r="H399" s="17">
        <f t="shared" si="153"/>
        <v>17.105</v>
      </c>
      <c r="I399" s="17">
        <f t="shared" si="141"/>
        <v>136.84</v>
      </c>
      <c r="J399" s="15">
        <v>0.46500000000000002</v>
      </c>
      <c r="K399" s="10">
        <f t="shared" si="154"/>
        <v>3.72</v>
      </c>
      <c r="L399" s="10" t="s">
        <v>403</v>
      </c>
      <c r="M399" s="17">
        <v>61.3</v>
      </c>
      <c r="N399" s="17">
        <f t="shared" si="155"/>
        <v>79.812600000000003</v>
      </c>
      <c r="O399" s="17">
        <f t="shared" si="156"/>
        <v>37.112859</v>
      </c>
      <c r="P399" s="17">
        <f t="shared" si="142"/>
        <v>296.902872</v>
      </c>
      <c r="Q399" s="17">
        <f t="shared" si="157"/>
        <v>433.74287200000003</v>
      </c>
      <c r="R399" s="49"/>
    </row>
    <row r="400" spans="2:19" x14ac:dyDescent="0.25">
      <c r="B400" s="48">
        <f>IF(F400&lt;&gt;"",1+MAX($B$22:B399),"")</f>
        <v>206</v>
      </c>
      <c r="C400" s="119"/>
      <c r="D400" s="81" t="s">
        <v>361</v>
      </c>
      <c r="E400" s="52" t="s">
        <v>96</v>
      </c>
      <c r="F400" s="52">
        <v>1</v>
      </c>
      <c r="G400" s="17">
        <v>15.55</v>
      </c>
      <c r="H400" s="17">
        <f t="shared" si="153"/>
        <v>17.105</v>
      </c>
      <c r="I400" s="17">
        <f t="shared" si="141"/>
        <v>17.105</v>
      </c>
      <c r="J400" s="15">
        <v>0.495</v>
      </c>
      <c r="K400" s="10">
        <f t="shared" si="154"/>
        <v>0.495</v>
      </c>
      <c r="L400" s="10" t="s">
        <v>403</v>
      </c>
      <c r="M400" s="17">
        <v>61.3</v>
      </c>
      <c r="N400" s="17">
        <f t="shared" si="155"/>
        <v>79.812600000000003</v>
      </c>
      <c r="O400" s="17">
        <f t="shared" si="156"/>
        <v>39.507237000000003</v>
      </c>
      <c r="P400" s="17">
        <f t="shared" si="142"/>
        <v>39.507237000000003</v>
      </c>
      <c r="Q400" s="17">
        <f t="shared" si="157"/>
        <v>56.612237000000007</v>
      </c>
      <c r="R400" s="49"/>
    </row>
    <row r="401" spans="2:36" x14ac:dyDescent="0.25">
      <c r="B401" s="48">
        <f>IF(F401&lt;&gt;"",1+MAX($B$22:B400),"")</f>
        <v>207</v>
      </c>
      <c r="C401" s="119"/>
      <c r="D401" s="8" t="s">
        <v>362</v>
      </c>
      <c r="E401" s="23" t="s">
        <v>96</v>
      </c>
      <c r="F401" s="39">
        <v>11</v>
      </c>
      <c r="G401" s="17">
        <v>24.5</v>
      </c>
      <c r="H401" s="17">
        <f t="shared" si="153"/>
        <v>26.950000000000003</v>
      </c>
      <c r="I401" s="17">
        <f t="shared" si="141"/>
        <v>296.45000000000005</v>
      </c>
      <c r="J401" s="15">
        <v>0.65300000000000002</v>
      </c>
      <c r="K401" s="10">
        <f t="shared" si="154"/>
        <v>7.1829999999999998</v>
      </c>
      <c r="L401" s="10" t="s">
        <v>403</v>
      </c>
      <c r="M401" s="17">
        <v>61.3</v>
      </c>
      <c r="N401" s="17">
        <f t="shared" si="155"/>
        <v>79.812600000000003</v>
      </c>
      <c r="O401" s="17">
        <f t="shared" si="156"/>
        <v>52.117627800000001</v>
      </c>
      <c r="P401" s="17">
        <f t="shared" si="142"/>
        <v>573.29390580000006</v>
      </c>
      <c r="Q401" s="17">
        <f t="shared" si="157"/>
        <v>869.74390580000011</v>
      </c>
      <c r="R401" s="49"/>
    </row>
    <row r="402" spans="2:36" x14ac:dyDescent="0.25">
      <c r="B402" s="48">
        <f>IF(F402&lt;&gt;"",1+MAX($B$22:B401),"")</f>
        <v>208</v>
      </c>
      <c r="C402" s="119"/>
      <c r="D402" s="8" t="s">
        <v>363</v>
      </c>
      <c r="E402" s="23" t="s">
        <v>96</v>
      </c>
      <c r="F402" s="39">
        <v>2</v>
      </c>
      <c r="G402" s="17">
        <v>24.5</v>
      </c>
      <c r="H402" s="17">
        <f t="shared" si="153"/>
        <v>26.950000000000003</v>
      </c>
      <c r="I402" s="17">
        <f t="shared" si="141"/>
        <v>53.900000000000006</v>
      </c>
      <c r="J402" s="15">
        <v>0.65300000000000002</v>
      </c>
      <c r="K402" s="10">
        <f t="shared" si="154"/>
        <v>1.306</v>
      </c>
      <c r="L402" s="10" t="s">
        <v>403</v>
      </c>
      <c r="M402" s="17">
        <v>61.3</v>
      </c>
      <c r="N402" s="17">
        <f t="shared" si="155"/>
        <v>79.812600000000003</v>
      </c>
      <c r="O402" s="17">
        <f t="shared" si="156"/>
        <v>52.117627800000001</v>
      </c>
      <c r="P402" s="17">
        <f t="shared" si="142"/>
        <v>104.2352556</v>
      </c>
      <c r="Q402" s="17">
        <f t="shared" si="157"/>
        <v>158.13525559999999</v>
      </c>
      <c r="R402" s="49"/>
    </row>
    <row r="403" spans="2:36" x14ac:dyDescent="0.25">
      <c r="B403" s="48">
        <f>IF(F403&lt;&gt;"",1+MAX($B$22:B402),"")</f>
        <v>209</v>
      </c>
      <c r="C403" s="119"/>
      <c r="D403" s="8" t="s">
        <v>364</v>
      </c>
      <c r="E403" s="23" t="s">
        <v>96</v>
      </c>
      <c r="F403" s="39">
        <v>2</v>
      </c>
      <c r="G403" s="17">
        <v>675</v>
      </c>
      <c r="H403" s="17">
        <f t="shared" si="153"/>
        <v>742.50000000000011</v>
      </c>
      <c r="I403" s="17">
        <f t="shared" si="141"/>
        <v>1485.0000000000002</v>
      </c>
      <c r="J403" s="15">
        <v>2.125</v>
      </c>
      <c r="K403" s="10">
        <f t="shared" si="154"/>
        <v>4.25</v>
      </c>
      <c r="L403" s="10" t="s">
        <v>403</v>
      </c>
      <c r="M403" s="17">
        <v>61.3</v>
      </c>
      <c r="N403" s="17">
        <f t="shared" si="155"/>
        <v>79.812600000000003</v>
      </c>
      <c r="O403" s="17">
        <f t="shared" si="156"/>
        <v>169.601775</v>
      </c>
      <c r="P403" s="17">
        <f t="shared" si="142"/>
        <v>339.20355000000001</v>
      </c>
      <c r="Q403" s="17">
        <f t="shared" si="157"/>
        <v>1824.2035500000002</v>
      </c>
      <c r="R403" s="49"/>
    </row>
    <row r="404" spans="2:36" x14ac:dyDescent="0.25">
      <c r="B404" s="48" t="str">
        <f>IF(F404&lt;&gt;"",1+MAX($B$22:B403),"")</f>
        <v/>
      </c>
      <c r="C404" s="52"/>
      <c r="D404" s="8"/>
      <c r="E404" s="23"/>
      <c r="F404" s="39"/>
      <c r="G404" s="17"/>
      <c r="H404" s="17">
        <f t="shared" si="153"/>
        <v>0</v>
      </c>
      <c r="I404" s="17">
        <f t="shared" si="141"/>
        <v>0</v>
      </c>
      <c r="J404" s="15"/>
      <c r="K404" s="10">
        <f t="shared" si="154"/>
        <v>0</v>
      </c>
      <c r="L404" s="10"/>
      <c r="M404" s="17"/>
      <c r="N404" s="17">
        <f t="shared" si="155"/>
        <v>0</v>
      </c>
      <c r="O404" s="17">
        <f t="shared" si="156"/>
        <v>0</v>
      </c>
      <c r="P404" s="17">
        <f t="shared" si="142"/>
        <v>0</v>
      </c>
      <c r="Q404" s="17">
        <f t="shared" si="157"/>
        <v>0</v>
      </c>
      <c r="R404" s="49"/>
    </row>
    <row r="405" spans="2:36" x14ac:dyDescent="0.25">
      <c r="B405" s="79" t="str">
        <f>IF(F405&lt;&gt;"",1+MAX($B$22:B404),"")</f>
        <v/>
      </c>
      <c r="C405" s="84"/>
      <c r="D405" s="69" t="s">
        <v>365</v>
      </c>
      <c r="E405" s="23"/>
      <c r="F405" s="39"/>
      <c r="G405" s="17"/>
      <c r="H405" s="17">
        <f t="shared" si="153"/>
        <v>0</v>
      </c>
      <c r="I405" s="17">
        <f t="shared" si="141"/>
        <v>0</v>
      </c>
      <c r="J405" s="15"/>
      <c r="K405" s="10">
        <f t="shared" si="154"/>
        <v>0</v>
      </c>
      <c r="L405" s="10"/>
      <c r="M405" s="17"/>
      <c r="N405" s="17">
        <f t="shared" si="155"/>
        <v>0</v>
      </c>
      <c r="O405" s="17">
        <f t="shared" si="156"/>
        <v>0</v>
      </c>
      <c r="P405" s="17">
        <f t="shared" si="142"/>
        <v>0</v>
      </c>
      <c r="Q405" s="17">
        <f t="shared" si="157"/>
        <v>0</v>
      </c>
      <c r="R405" s="49"/>
    </row>
    <row r="406" spans="2:36" x14ac:dyDescent="0.25">
      <c r="B406" s="48">
        <f>IF(F406&lt;&gt;"",1+MAX($B$22:B405),"")</f>
        <v>210</v>
      </c>
      <c r="C406" s="52" t="s">
        <v>349</v>
      </c>
      <c r="D406" s="8" t="s">
        <v>366</v>
      </c>
      <c r="E406" s="23" t="s">
        <v>96</v>
      </c>
      <c r="F406" s="39">
        <v>1</v>
      </c>
      <c r="G406" s="17">
        <v>950</v>
      </c>
      <c r="H406" s="17">
        <f t="shared" si="153"/>
        <v>1045</v>
      </c>
      <c r="I406" s="17">
        <f t="shared" si="141"/>
        <v>1045</v>
      </c>
      <c r="J406" s="15">
        <v>8.2650000000000006</v>
      </c>
      <c r="K406" s="10">
        <f t="shared" si="154"/>
        <v>8.2650000000000006</v>
      </c>
      <c r="L406" s="10" t="s">
        <v>403</v>
      </c>
      <c r="M406" s="17">
        <v>61.3</v>
      </c>
      <c r="N406" s="17">
        <f t="shared" si="155"/>
        <v>79.812600000000003</v>
      </c>
      <c r="O406" s="17">
        <f t="shared" si="156"/>
        <v>659.65113900000006</v>
      </c>
      <c r="P406" s="17">
        <f t="shared" si="142"/>
        <v>659.65113900000006</v>
      </c>
      <c r="Q406" s="17">
        <f t="shared" si="157"/>
        <v>1704.6511390000001</v>
      </c>
      <c r="R406" s="49"/>
    </row>
    <row r="407" spans="2:36" x14ac:dyDescent="0.25">
      <c r="B407" s="48" t="str">
        <f>IF(F407&lt;&gt;"",1+MAX($B$22:B406),"")</f>
        <v/>
      </c>
      <c r="C407" s="52"/>
      <c r="D407" s="8"/>
      <c r="E407" s="23"/>
      <c r="F407" s="39"/>
      <c r="G407" s="17"/>
      <c r="H407" s="17">
        <f t="shared" si="153"/>
        <v>0</v>
      </c>
      <c r="I407" s="17">
        <f t="shared" si="141"/>
        <v>0</v>
      </c>
      <c r="J407" s="15"/>
      <c r="K407" s="10">
        <f t="shared" si="154"/>
        <v>0</v>
      </c>
      <c r="L407" s="10"/>
      <c r="M407" s="17"/>
      <c r="N407" s="17">
        <f t="shared" si="155"/>
        <v>0</v>
      </c>
      <c r="O407" s="17">
        <f t="shared" si="156"/>
        <v>0</v>
      </c>
      <c r="P407" s="17">
        <f t="shared" si="142"/>
        <v>0</v>
      </c>
      <c r="Q407" s="17">
        <f t="shared" si="157"/>
        <v>0</v>
      </c>
      <c r="R407" s="49"/>
    </row>
    <row r="408" spans="2:36" x14ac:dyDescent="0.25">
      <c r="B408" s="79" t="str">
        <f>IF(F408&lt;&gt;"",1+MAX($B$22:B407),"")</f>
        <v/>
      </c>
      <c r="C408" s="84"/>
      <c r="D408" s="69" t="s">
        <v>367</v>
      </c>
      <c r="E408" s="23"/>
      <c r="F408" s="39"/>
      <c r="G408" s="17"/>
      <c r="H408" s="17">
        <f t="shared" si="153"/>
        <v>0</v>
      </c>
      <c r="I408" s="17">
        <f t="shared" si="141"/>
        <v>0</v>
      </c>
      <c r="J408" s="15"/>
      <c r="K408" s="10">
        <f t="shared" si="154"/>
        <v>0</v>
      </c>
      <c r="L408" s="10"/>
      <c r="M408" s="17"/>
      <c r="N408" s="17">
        <f t="shared" si="155"/>
        <v>0</v>
      </c>
      <c r="O408" s="17">
        <f t="shared" si="156"/>
        <v>0</v>
      </c>
      <c r="P408" s="17">
        <f t="shared" si="142"/>
        <v>0</v>
      </c>
      <c r="Q408" s="17">
        <f t="shared" si="157"/>
        <v>0</v>
      </c>
      <c r="R408" s="49"/>
    </row>
    <row r="409" spans="2:36" x14ac:dyDescent="0.25">
      <c r="B409" s="48">
        <f>IF(F409&lt;&gt;"",1+MAX($B$22:B408),"")</f>
        <v>211</v>
      </c>
      <c r="C409" s="119" t="s">
        <v>349</v>
      </c>
      <c r="D409" s="8" t="s">
        <v>368</v>
      </c>
      <c r="E409" s="23" t="s">
        <v>96</v>
      </c>
      <c r="F409" s="39">
        <v>7</v>
      </c>
      <c r="G409" s="17">
        <v>120</v>
      </c>
      <c r="H409" s="17">
        <f t="shared" si="153"/>
        <v>132</v>
      </c>
      <c r="I409" s="17">
        <f t="shared" si="141"/>
        <v>924</v>
      </c>
      <c r="J409" s="15">
        <v>1.2889999999999999</v>
      </c>
      <c r="K409" s="10">
        <f t="shared" si="154"/>
        <v>9.0229999999999997</v>
      </c>
      <c r="L409" s="10" t="s">
        <v>403</v>
      </c>
      <c r="M409" s="17">
        <v>61.3</v>
      </c>
      <c r="N409" s="17">
        <f t="shared" si="155"/>
        <v>79.812600000000003</v>
      </c>
      <c r="O409" s="17">
        <f t="shared" si="156"/>
        <v>102.8784414</v>
      </c>
      <c r="P409" s="17">
        <f t="shared" si="142"/>
        <v>720.14908979999996</v>
      </c>
      <c r="Q409" s="17">
        <f t="shared" si="157"/>
        <v>1644.1490898</v>
      </c>
      <c r="R409" s="49"/>
    </row>
    <row r="410" spans="2:36" ht="27.6" x14ac:dyDescent="0.25">
      <c r="B410" s="48">
        <f>IF(F410&lt;&gt;"",1+MAX($B$22:B409),"")</f>
        <v>212</v>
      </c>
      <c r="C410" s="119"/>
      <c r="D410" s="81" t="s">
        <v>369</v>
      </c>
      <c r="E410" s="52" t="s">
        <v>96</v>
      </c>
      <c r="F410" s="52">
        <v>1</v>
      </c>
      <c r="G410" s="17">
        <v>120</v>
      </c>
      <c r="H410" s="17">
        <f t="shared" si="153"/>
        <v>132</v>
      </c>
      <c r="I410" s="17">
        <f t="shared" si="141"/>
        <v>132</v>
      </c>
      <c r="J410" s="15">
        <v>1.2889999999999999</v>
      </c>
      <c r="K410" s="10">
        <f t="shared" si="154"/>
        <v>1.2889999999999999</v>
      </c>
      <c r="L410" s="10" t="s">
        <v>403</v>
      </c>
      <c r="M410" s="17">
        <v>61.3</v>
      </c>
      <c r="N410" s="17">
        <f t="shared" si="155"/>
        <v>79.812600000000003</v>
      </c>
      <c r="O410" s="17">
        <f t="shared" si="156"/>
        <v>102.8784414</v>
      </c>
      <c r="P410" s="17">
        <f t="shared" si="142"/>
        <v>102.8784414</v>
      </c>
      <c r="Q410" s="17">
        <f t="shared" si="157"/>
        <v>234.87844139999999</v>
      </c>
      <c r="R410" s="49"/>
    </row>
    <row r="411" spans="2:36" x14ac:dyDescent="0.25">
      <c r="B411" s="48" t="str">
        <f>IF(F411&lt;&gt;"",1+MAX($B$22:B410),"")</f>
        <v/>
      </c>
      <c r="C411" s="52"/>
      <c r="D411" s="8"/>
      <c r="E411" s="23"/>
      <c r="F411" s="39"/>
      <c r="G411" s="17"/>
      <c r="H411" s="17">
        <f t="shared" si="153"/>
        <v>0</v>
      </c>
      <c r="I411" s="17">
        <f t="shared" si="141"/>
        <v>0</v>
      </c>
      <c r="J411" s="15"/>
      <c r="K411" s="10">
        <f t="shared" si="154"/>
        <v>0</v>
      </c>
      <c r="L411" s="10"/>
      <c r="M411" s="17"/>
      <c r="N411" s="17">
        <f t="shared" si="155"/>
        <v>0</v>
      </c>
      <c r="O411" s="17">
        <f t="shared" si="156"/>
        <v>0</v>
      </c>
      <c r="P411" s="17">
        <f t="shared" si="142"/>
        <v>0</v>
      </c>
      <c r="Q411" s="17">
        <f t="shared" si="157"/>
        <v>0</v>
      </c>
      <c r="R411" s="49"/>
    </row>
    <row r="412" spans="2:36" x14ac:dyDescent="0.25">
      <c r="B412" s="67" t="str">
        <f>IF(F412&lt;&gt;"",1+MAX($B$22:B411),"")</f>
        <v/>
      </c>
      <c r="C412" s="68"/>
      <c r="D412" s="69" t="s">
        <v>152</v>
      </c>
      <c r="E412" s="23"/>
      <c r="F412" s="39"/>
      <c r="G412" s="17"/>
      <c r="H412" s="17">
        <f t="shared" si="153"/>
        <v>0</v>
      </c>
      <c r="I412" s="17">
        <f t="shared" si="141"/>
        <v>0</v>
      </c>
      <c r="J412" s="15"/>
      <c r="K412" s="10">
        <f t="shared" si="154"/>
        <v>0</v>
      </c>
      <c r="L412" s="10"/>
      <c r="M412" s="17"/>
      <c r="N412" s="17">
        <f t="shared" si="155"/>
        <v>0</v>
      </c>
      <c r="O412" s="17">
        <f t="shared" si="156"/>
        <v>0</v>
      </c>
      <c r="P412" s="17">
        <f t="shared" si="142"/>
        <v>0</v>
      </c>
      <c r="Q412" s="17">
        <f t="shared" si="157"/>
        <v>0</v>
      </c>
      <c r="R412" s="49"/>
    </row>
    <row r="413" spans="2:36" ht="27.6" x14ac:dyDescent="0.25">
      <c r="B413" s="48">
        <f>IF(F413&lt;&gt;"",1+MAX($B$22:B412),"")</f>
        <v>213</v>
      </c>
      <c r="C413" s="52" t="s">
        <v>349</v>
      </c>
      <c r="D413" s="8" t="s">
        <v>370</v>
      </c>
      <c r="E413" s="23" t="s">
        <v>60</v>
      </c>
      <c r="F413" s="39">
        <v>1</v>
      </c>
      <c r="G413" s="17">
        <v>6550</v>
      </c>
      <c r="H413" s="17">
        <f t="shared" si="153"/>
        <v>7205.0000000000009</v>
      </c>
      <c r="I413" s="17">
        <f t="shared" si="141"/>
        <v>7205.0000000000009</v>
      </c>
      <c r="J413" s="15">
        <v>70.25</v>
      </c>
      <c r="K413" s="10">
        <f>F413*J413</f>
        <v>70.25</v>
      </c>
      <c r="L413" s="88" t="s">
        <v>404</v>
      </c>
      <c r="M413" s="89">
        <v>61.3</v>
      </c>
      <c r="N413" s="17">
        <f t="shared" si="155"/>
        <v>79.812600000000003</v>
      </c>
      <c r="O413" s="17">
        <f t="shared" si="156"/>
        <v>5606.8351499999999</v>
      </c>
      <c r="P413" s="17">
        <f t="shared" si="142"/>
        <v>5606.8351499999999</v>
      </c>
      <c r="Q413" s="17">
        <f t="shared" si="157"/>
        <v>12811.835150000001</v>
      </c>
      <c r="R413" s="49"/>
    </row>
    <row r="414" spans="2:36" x14ac:dyDescent="0.25">
      <c r="B414" s="48" t="str">
        <f>IF(F414&lt;&gt;"",1+MAX($B$22:B413),"")</f>
        <v/>
      </c>
      <c r="C414" s="52"/>
      <c r="D414" s="8"/>
      <c r="E414" s="23"/>
      <c r="F414" s="39"/>
      <c r="G414" s="17"/>
      <c r="H414" s="17">
        <f t="shared" si="153"/>
        <v>0</v>
      </c>
      <c r="I414" s="17">
        <f t="shared" si="141"/>
        <v>0</v>
      </c>
      <c r="J414" s="15"/>
      <c r="K414" s="10">
        <f t="shared" si="154"/>
        <v>0</v>
      </c>
      <c r="L414" s="10"/>
      <c r="M414" s="17"/>
      <c r="N414" s="17">
        <f t="shared" si="155"/>
        <v>0</v>
      </c>
      <c r="O414" s="17">
        <f t="shared" si="156"/>
        <v>0</v>
      </c>
      <c r="P414" s="17">
        <f t="shared" si="142"/>
        <v>0</v>
      </c>
      <c r="Q414" s="17">
        <f t="shared" si="157"/>
        <v>0</v>
      </c>
      <c r="R414" s="49"/>
      <c r="S414" s="12"/>
    </row>
    <row r="415" spans="2:36" s="12" customFormat="1" ht="12.75" customHeight="1" x14ac:dyDescent="0.25">
      <c r="B415" s="13" t="str">
        <f>IF(F415&lt;&gt;"",1+MAX($B$22:B414),"")</f>
        <v/>
      </c>
      <c r="C415" s="13" t="s">
        <v>54</v>
      </c>
      <c r="D415" s="6" t="s">
        <v>24</v>
      </c>
      <c r="E415" s="121" t="s">
        <v>61</v>
      </c>
      <c r="F415" s="121"/>
      <c r="G415" s="121"/>
      <c r="H415" s="53">
        <f>SUM(I416:I425)</f>
        <v>0</v>
      </c>
      <c r="I415" s="7">
        <f t="shared" si="141"/>
        <v>0</v>
      </c>
      <c r="J415" s="7"/>
      <c r="K415" s="122" t="s">
        <v>62</v>
      </c>
      <c r="L415" s="122"/>
      <c r="M415" s="122"/>
      <c r="N415" s="122"/>
      <c r="O415" s="53">
        <f>SUM(P416:P425)</f>
        <v>11069.219014224002</v>
      </c>
      <c r="P415" s="7">
        <f t="shared" si="142"/>
        <v>0</v>
      </c>
      <c r="Q415" s="47">
        <f>SUM(Q416:Q425)</f>
        <v>11069.219014224002</v>
      </c>
      <c r="R415" s="47">
        <f>(Q415)+(H415*$Q$8)+(O415*$Q$9)+(Q415*$Q$10)+($Q$11*((Q415)+(H415*$Q$8)+(O415*$Q$9)+(Q415*$Q$10)))+(Q415*$Q$12)</f>
        <v>15795.775533297649</v>
      </c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</row>
    <row r="416" spans="2:36" x14ac:dyDescent="0.25">
      <c r="B416" s="48" t="str">
        <f>IF(F416&lt;&gt;"",1+MAX($B$22:B415),"")</f>
        <v/>
      </c>
      <c r="C416" s="52"/>
      <c r="D416" s="8"/>
      <c r="E416" s="23"/>
      <c r="F416" s="39"/>
      <c r="G416" s="17"/>
      <c r="H416" s="17">
        <f t="shared" ref="H416:H425" si="159">G416*$T$2</f>
        <v>0</v>
      </c>
      <c r="I416" s="17">
        <f t="shared" si="141"/>
        <v>0</v>
      </c>
      <c r="J416" s="15"/>
      <c r="K416" s="10">
        <f t="shared" ref="K416:K425" si="160">F416*J416</f>
        <v>0</v>
      </c>
      <c r="L416" s="10"/>
      <c r="M416" s="17"/>
      <c r="N416" s="17">
        <f t="shared" ref="N416:N425" si="161">M416*$U$2</f>
        <v>0</v>
      </c>
      <c r="O416" s="17">
        <f t="shared" ref="O416:O425" si="162">J416*N416</f>
        <v>0</v>
      </c>
      <c r="P416" s="17">
        <f t="shared" si="142"/>
        <v>0</v>
      </c>
      <c r="Q416" s="17">
        <f t="shared" ref="Q416:Q425" si="163">I416+P416</f>
        <v>0</v>
      </c>
      <c r="R416" s="49"/>
      <c r="S416" s="12"/>
    </row>
    <row r="417" spans="2:36" x14ac:dyDescent="0.25">
      <c r="B417" s="67" t="str">
        <f>IF(F417&lt;&gt;"",1+MAX($B$22:B416),"")</f>
        <v/>
      </c>
      <c r="C417" s="68"/>
      <c r="D417" s="69" t="s">
        <v>123</v>
      </c>
      <c r="E417" s="23"/>
      <c r="F417" s="70"/>
      <c r="G417" s="17"/>
      <c r="H417" s="17">
        <f t="shared" si="159"/>
        <v>0</v>
      </c>
      <c r="I417" s="17">
        <f t="shared" si="141"/>
        <v>0</v>
      </c>
      <c r="J417" s="15"/>
      <c r="K417" s="10">
        <f t="shared" si="160"/>
        <v>0</v>
      </c>
      <c r="L417" s="10"/>
      <c r="M417" s="17"/>
      <c r="N417" s="17">
        <f t="shared" si="161"/>
        <v>0</v>
      </c>
      <c r="O417" s="17">
        <f t="shared" si="162"/>
        <v>0</v>
      </c>
      <c r="P417" s="17">
        <f t="shared" si="142"/>
        <v>0</v>
      </c>
      <c r="Q417" s="17">
        <f t="shared" si="163"/>
        <v>0</v>
      </c>
      <c r="R417" s="49"/>
    </row>
    <row r="418" spans="2:36" x14ac:dyDescent="0.25">
      <c r="B418" s="48">
        <f>IF(F418&lt;&gt;"",1+MAX($B$22:B417),"")</f>
        <v>214</v>
      </c>
      <c r="C418" s="52"/>
      <c r="D418" s="8" t="s">
        <v>124</v>
      </c>
      <c r="E418" s="23" t="s">
        <v>74</v>
      </c>
      <c r="F418" s="70">
        <v>61.84</v>
      </c>
      <c r="G418" s="85"/>
      <c r="H418" s="85">
        <f t="shared" si="159"/>
        <v>0</v>
      </c>
      <c r="I418" s="85">
        <f t="shared" si="141"/>
        <v>0</v>
      </c>
      <c r="J418" s="15">
        <v>2.2799999999999998</v>
      </c>
      <c r="K418" s="10">
        <f t="shared" si="160"/>
        <v>140.99519999999998</v>
      </c>
      <c r="L418" s="88" t="s">
        <v>378</v>
      </c>
      <c r="M418" s="89">
        <v>42.1</v>
      </c>
      <c r="N418" s="17">
        <f t="shared" si="161"/>
        <v>54.814200000000007</v>
      </c>
      <c r="O418" s="17">
        <f t="shared" si="162"/>
        <v>124.976376</v>
      </c>
      <c r="P418" s="17">
        <f t="shared" si="142"/>
        <v>7728.5390918400008</v>
      </c>
      <c r="Q418" s="17">
        <f t="shared" si="163"/>
        <v>7728.5390918400008</v>
      </c>
      <c r="R418" s="49"/>
    </row>
    <row r="419" spans="2:36" x14ac:dyDescent="0.25">
      <c r="B419" s="48" t="str">
        <f>IF(F419&lt;&gt;"",1+MAX($B$22:B418),"")</f>
        <v/>
      </c>
      <c r="C419" s="52"/>
      <c r="D419" s="48"/>
      <c r="E419" s="52"/>
      <c r="F419" s="73"/>
      <c r="G419" s="17"/>
      <c r="H419" s="17">
        <f t="shared" si="159"/>
        <v>0</v>
      </c>
      <c r="I419" s="17">
        <f t="shared" si="141"/>
        <v>0</v>
      </c>
      <c r="J419" s="15"/>
      <c r="K419" s="10">
        <f t="shared" si="160"/>
        <v>0</v>
      </c>
      <c r="L419" s="10"/>
      <c r="M419" s="17"/>
      <c r="N419" s="17">
        <f t="shared" si="161"/>
        <v>0</v>
      </c>
      <c r="O419" s="17">
        <f t="shared" si="162"/>
        <v>0</v>
      </c>
      <c r="P419" s="17">
        <f t="shared" si="142"/>
        <v>0</v>
      </c>
      <c r="Q419" s="17">
        <f t="shared" si="163"/>
        <v>0</v>
      </c>
      <c r="R419" s="49"/>
    </row>
    <row r="420" spans="2:36" x14ac:dyDescent="0.25">
      <c r="B420" s="67" t="str">
        <f>IF(F420&lt;&gt;"",1+MAX($B$22:B419),"")</f>
        <v/>
      </c>
      <c r="C420" s="68"/>
      <c r="D420" s="69" t="s">
        <v>125</v>
      </c>
      <c r="E420" s="23"/>
      <c r="F420" s="70"/>
      <c r="G420" s="17"/>
      <c r="H420" s="17">
        <f t="shared" si="159"/>
        <v>0</v>
      </c>
      <c r="I420" s="17">
        <f t="shared" si="141"/>
        <v>0</v>
      </c>
      <c r="J420" s="15"/>
      <c r="K420" s="10">
        <f t="shared" si="160"/>
        <v>0</v>
      </c>
      <c r="L420" s="10"/>
      <c r="M420" s="17"/>
      <c r="N420" s="17">
        <f t="shared" si="161"/>
        <v>0</v>
      </c>
      <c r="O420" s="17">
        <f t="shared" si="162"/>
        <v>0</v>
      </c>
      <c r="P420" s="17">
        <f t="shared" si="142"/>
        <v>0</v>
      </c>
      <c r="Q420" s="17">
        <f t="shared" si="163"/>
        <v>0</v>
      </c>
      <c r="R420" s="49"/>
    </row>
    <row r="421" spans="2:36" x14ac:dyDescent="0.25">
      <c r="B421" s="48">
        <f>IF(F421&lt;&gt;"",1+MAX($B$22:B420),"")</f>
        <v>215</v>
      </c>
      <c r="C421" s="52"/>
      <c r="D421" s="8" t="s">
        <v>126</v>
      </c>
      <c r="E421" s="23" t="s">
        <v>74</v>
      </c>
      <c r="F421" s="70">
        <f>61.84-14.2</f>
        <v>47.64</v>
      </c>
      <c r="G421" s="85"/>
      <c r="H421" s="85">
        <f t="shared" si="159"/>
        <v>0</v>
      </c>
      <c r="I421" s="85">
        <f t="shared" si="141"/>
        <v>0</v>
      </c>
      <c r="J421" s="15">
        <v>1.093</v>
      </c>
      <c r="K421" s="10">
        <f t="shared" si="160"/>
        <v>52.070520000000002</v>
      </c>
      <c r="L421" s="88" t="s">
        <v>378</v>
      </c>
      <c r="M421" s="89">
        <v>42.1</v>
      </c>
      <c r="N421" s="17">
        <f t="shared" si="161"/>
        <v>54.814200000000007</v>
      </c>
      <c r="O421" s="17">
        <f t="shared" si="162"/>
        <v>59.911920600000009</v>
      </c>
      <c r="P421" s="17">
        <f t="shared" si="142"/>
        <v>2854.2038973840004</v>
      </c>
      <c r="Q421" s="17">
        <f t="shared" si="163"/>
        <v>2854.2038973840004</v>
      </c>
      <c r="R421" s="49"/>
    </row>
    <row r="422" spans="2:36" x14ac:dyDescent="0.25">
      <c r="B422" s="48" t="str">
        <f>IF(F422&lt;&gt;"",1+MAX($B$22:B421),"")</f>
        <v/>
      </c>
      <c r="C422" s="52"/>
      <c r="D422" s="8"/>
      <c r="E422" s="23"/>
      <c r="F422" s="70"/>
      <c r="G422" s="17"/>
      <c r="H422" s="17">
        <f t="shared" si="159"/>
        <v>0</v>
      </c>
      <c r="I422" s="17">
        <f t="shared" si="141"/>
        <v>0</v>
      </c>
      <c r="J422" s="15"/>
      <c r="K422" s="10">
        <f t="shared" si="160"/>
        <v>0</v>
      </c>
      <c r="L422" s="10"/>
      <c r="M422" s="17"/>
      <c r="N422" s="17">
        <f t="shared" si="161"/>
        <v>0</v>
      </c>
      <c r="O422" s="17">
        <f t="shared" si="162"/>
        <v>0</v>
      </c>
      <c r="P422" s="17">
        <f t="shared" si="142"/>
        <v>0</v>
      </c>
      <c r="Q422" s="17">
        <f t="shared" si="163"/>
        <v>0</v>
      </c>
      <c r="R422" s="49"/>
    </row>
    <row r="423" spans="2:36" x14ac:dyDescent="0.25">
      <c r="B423" s="67" t="str">
        <f>IF(F423&lt;&gt;"",1+MAX($B$22:B422),"")</f>
        <v/>
      </c>
      <c r="C423" s="68"/>
      <c r="D423" s="69" t="s">
        <v>127</v>
      </c>
      <c r="E423" s="23"/>
      <c r="F423" s="70"/>
      <c r="G423" s="17"/>
      <c r="H423" s="17">
        <f t="shared" si="159"/>
        <v>0</v>
      </c>
      <c r="I423" s="17">
        <f t="shared" si="141"/>
        <v>0</v>
      </c>
      <c r="J423" s="15"/>
      <c r="K423" s="10">
        <f t="shared" si="160"/>
        <v>0</v>
      </c>
      <c r="L423" s="10"/>
      <c r="M423" s="17"/>
      <c r="N423" s="17">
        <f t="shared" si="161"/>
        <v>0</v>
      </c>
      <c r="O423" s="17">
        <f t="shared" si="162"/>
        <v>0</v>
      </c>
      <c r="P423" s="17">
        <f t="shared" si="142"/>
        <v>0</v>
      </c>
      <c r="Q423" s="17">
        <f t="shared" si="163"/>
        <v>0</v>
      </c>
      <c r="R423" s="49"/>
    </row>
    <row r="424" spans="2:36" x14ac:dyDescent="0.25">
      <c r="B424" s="48">
        <f>IF(F424&lt;&gt;"",1+MAX($B$22:B423),"")</f>
        <v>216</v>
      </c>
      <c r="C424" s="52"/>
      <c r="D424" s="8" t="s">
        <v>128</v>
      </c>
      <c r="E424" s="23" t="s">
        <v>74</v>
      </c>
      <c r="F424" s="70">
        <v>14.2</v>
      </c>
      <c r="G424" s="85"/>
      <c r="H424" s="85">
        <f t="shared" si="159"/>
        <v>0</v>
      </c>
      <c r="I424" s="85">
        <f t="shared" si="141"/>
        <v>0</v>
      </c>
      <c r="J424" s="15">
        <v>0.625</v>
      </c>
      <c r="K424" s="10">
        <f t="shared" si="160"/>
        <v>8.875</v>
      </c>
      <c r="L424" s="88" t="s">
        <v>378</v>
      </c>
      <c r="M424" s="89">
        <v>42.1</v>
      </c>
      <c r="N424" s="17">
        <f t="shared" si="161"/>
        <v>54.814200000000007</v>
      </c>
      <c r="O424" s="17">
        <f t="shared" si="162"/>
        <v>34.258875000000003</v>
      </c>
      <c r="P424" s="17">
        <f t="shared" si="142"/>
        <v>486.47602500000005</v>
      </c>
      <c r="Q424" s="17">
        <f t="shared" si="163"/>
        <v>486.47602500000005</v>
      </c>
      <c r="R424" s="49"/>
    </row>
    <row r="425" spans="2:36" x14ac:dyDescent="0.25">
      <c r="B425" s="48" t="str">
        <f>IF(F425&lt;&gt;"",1+MAX($B$22:B424),"")</f>
        <v/>
      </c>
      <c r="C425" s="52"/>
      <c r="D425" s="8"/>
      <c r="E425" s="23"/>
      <c r="F425" s="39"/>
      <c r="G425" s="17"/>
      <c r="H425" s="17">
        <f t="shared" si="159"/>
        <v>0</v>
      </c>
      <c r="I425" s="17">
        <f t="shared" si="141"/>
        <v>0</v>
      </c>
      <c r="J425" s="15"/>
      <c r="K425" s="10">
        <f t="shared" si="160"/>
        <v>0</v>
      </c>
      <c r="L425" s="10"/>
      <c r="M425" s="17"/>
      <c r="N425" s="17">
        <f t="shared" si="161"/>
        <v>0</v>
      </c>
      <c r="O425" s="17">
        <f t="shared" si="162"/>
        <v>0</v>
      </c>
      <c r="P425" s="17">
        <f t="shared" si="142"/>
        <v>0</v>
      </c>
      <c r="Q425" s="17">
        <f t="shared" si="163"/>
        <v>0</v>
      </c>
      <c r="R425" s="49"/>
    </row>
    <row r="426" spans="2:36" s="12" customFormat="1" ht="12.75" customHeight="1" x14ac:dyDescent="0.25">
      <c r="B426" s="13" t="str">
        <f>IF(F426&lt;&gt;"",1+MAX($B$22:B425),"")</f>
        <v/>
      </c>
      <c r="C426" s="13" t="s">
        <v>55</v>
      </c>
      <c r="D426" s="6" t="s">
        <v>25</v>
      </c>
      <c r="E426" s="121" t="s">
        <v>61</v>
      </c>
      <c r="F426" s="121"/>
      <c r="G426" s="121"/>
      <c r="H426" s="53">
        <f>SUM(I427:I447)</f>
        <v>30236.726666666669</v>
      </c>
      <c r="I426" s="7">
        <f t="shared" si="141"/>
        <v>0</v>
      </c>
      <c r="J426" s="7"/>
      <c r="K426" s="122" t="s">
        <v>62</v>
      </c>
      <c r="L426" s="122"/>
      <c r="M426" s="122"/>
      <c r="N426" s="122"/>
      <c r="O426" s="53">
        <f>SUM(P427:P447)</f>
        <v>24768.996219239998</v>
      </c>
      <c r="P426" s="7">
        <f t="shared" si="142"/>
        <v>0</v>
      </c>
      <c r="Q426" s="47">
        <f>SUM(Q427:Q447)</f>
        <v>55005.722885906667</v>
      </c>
      <c r="R426" s="47">
        <f>(Q426)+(H426*$Q$8)+(O426*$Q$9)+(Q426*$Q$10)+($Q$11*((Q426)+(H426*$Q$8)+(O426*$Q$9)+(Q426*$Q$10)))+(Q426*$Q$12)</f>
        <v>77993.534886748806</v>
      </c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</row>
    <row r="427" spans="2:36" x14ac:dyDescent="0.25">
      <c r="B427" s="48" t="str">
        <f>IF(F427&lt;&gt;"",1+MAX($B$22:B426),"")</f>
        <v/>
      </c>
      <c r="C427" s="52"/>
      <c r="D427" s="8"/>
      <c r="E427" s="23"/>
      <c r="F427" s="39"/>
      <c r="G427" s="17"/>
      <c r="H427" s="17">
        <f t="shared" ref="H427:H447" si="164">G427*$T$2</f>
        <v>0</v>
      </c>
      <c r="I427" s="17">
        <f t="shared" ref="I427:I447" si="165">F427*H427</f>
        <v>0</v>
      </c>
      <c r="J427" s="15"/>
      <c r="K427" s="10">
        <f t="shared" ref="K427:K447" si="166">F427*J427</f>
        <v>0</v>
      </c>
      <c r="L427" s="10"/>
      <c r="M427" s="17"/>
      <c r="N427" s="17">
        <f t="shared" ref="N427:N447" si="167">M427*$U$2</f>
        <v>0</v>
      </c>
      <c r="O427" s="17">
        <f t="shared" ref="O427:O447" si="168">J427*N427</f>
        <v>0</v>
      </c>
      <c r="P427" s="17">
        <f t="shared" ref="P427:P447" si="169">F427*O427</f>
        <v>0</v>
      </c>
      <c r="Q427" s="17">
        <f t="shared" ref="Q427:Q447" si="170">I427+P427</f>
        <v>0</v>
      </c>
      <c r="R427" s="49"/>
      <c r="S427" s="12"/>
    </row>
    <row r="428" spans="2:36" x14ac:dyDescent="0.25">
      <c r="B428" s="67" t="str">
        <f>IF(F428&lt;&gt;"",1+MAX($B$22:B427),"")</f>
        <v/>
      </c>
      <c r="C428" s="68"/>
      <c r="D428" s="69" t="s">
        <v>129</v>
      </c>
      <c r="E428" s="23"/>
      <c r="F428" s="39"/>
      <c r="G428" s="17"/>
      <c r="H428" s="17">
        <f t="shared" si="164"/>
        <v>0</v>
      </c>
      <c r="I428" s="17">
        <f t="shared" si="165"/>
        <v>0</v>
      </c>
      <c r="J428" s="15"/>
      <c r="K428" s="10">
        <f t="shared" si="166"/>
        <v>0</v>
      </c>
      <c r="L428" s="10"/>
      <c r="M428" s="17"/>
      <c r="N428" s="17">
        <f t="shared" si="167"/>
        <v>0</v>
      </c>
      <c r="O428" s="17">
        <f t="shared" si="168"/>
        <v>0</v>
      </c>
      <c r="P428" s="17">
        <f t="shared" si="169"/>
        <v>0</v>
      </c>
      <c r="Q428" s="17">
        <f t="shared" si="170"/>
        <v>0</v>
      </c>
      <c r="R428" s="49"/>
    </row>
    <row r="429" spans="2:36" ht="55.2" x14ac:dyDescent="0.25">
      <c r="B429" s="48">
        <f>IF(F429&lt;&gt;"",1+MAX($B$22:B428),"")</f>
        <v>217</v>
      </c>
      <c r="C429" s="52" t="s">
        <v>241</v>
      </c>
      <c r="D429" s="8" t="s">
        <v>239</v>
      </c>
      <c r="E429" s="23" t="s">
        <v>73</v>
      </c>
      <c r="F429" s="39">
        <v>3853</v>
      </c>
      <c r="G429" s="17">
        <v>3.8333333333333335</v>
      </c>
      <c r="H429" s="17">
        <f t="shared" si="164"/>
        <v>4.2166666666666668</v>
      </c>
      <c r="I429" s="17">
        <f t="shared" si="165"/>
        <v>16246.816666666668</v>
      </c>
      <c r="J429" s="15">
        <v>2.4E-2</v>
      </c>
      <c r="K429" s="10">
        <f t="shared" si="166"/>
        <v>92.472000000000008</v>
      </c>
      <c r="L429" s="88" t="s">
        <v>405</v>
      </c>
      <c r="M429" s="89">
        <v>104.31</v>
      </c>
      <c r="N429" s="17">
        <f t="shared" si="167"/>
        <v>135.81162</v>
      </c>
      <c r="O429" s="17">
        <f t="shared" si="168"/>
        <v>3.2594788800000001</v>
      </c>
      <c r="P429" s="17">
        <f t="shared" si="169"/>
        <v>12558.77212464</v>
      </c>
      <c r="Q429" s="17">
        <f t="shared" si="170"/>
        <v>28805.588791306669</v>
      </c>
      <c r="R429" s="49"/>
    </row>
    <row r="430" spans="2:36" x14ac:dyDescent="0.25">
      <c r="B430" s="48" t="str">
        <f>IF(F430&lt;&gt;"",1+MAX($B$22:B429),"")</f>
        <v/>
      </c>
      <c r="C430" s="52"/>
      <c r="D430" s="48"/>
      <c r="E430" s="52"/>
      <c r="F430" s="51"/>
      <c r="G430" s="17"/>
      <c r="H430" s="17">
        <f t="shared" si="164"/>
        <v>0</v>
      </c>
      <c r="I430" s="17">
        <f t="shared" si="165"/>
        <v>0</v>
      </c>
      <c r="J430" s="15"/>
      <c r="K430" s="10">
        <f t="shared" si="166"/>
        <v>0</v>
      </c>
      <c r="L430" s="10"/>
      <c r="M430" s="17"/>
      <c r="N430" s="17">
        <f t="shared" si="167"/>
        <v>0</v>
      </c>
      <c r="O430" s="17">
        <f t="shared" si="168"/>
        <v>0</v>
      </c>
      <c r="P430" s="17">
        <f t="shared" si="169"/>
        <v>0</v>
      </c>
      <c r="Q430" s="17">
        <f t="shared" si="170"/>
        <v>0</v>
      </c>
      <c r="R430" s="49"/>
    </row>
    <row r="431" spans="2:36" x14ac:dyDescent="0.25">
      <c r="B431" s="67" t="str">
        <f>IF(F431&lt;&gt;"",1+MAX($B$22:B430),"")</f>
        <v/>
      </c>
      <c r="C431" s="68"/>
      <c r="D431" s="69" t="s">
        <v>238</v>
      </c>
      <c r="E431" s="23"/>
      <c r="F431" s="39"/>
      <c r="G431" s="17"/>
      <c r="H431" s="17">
        <f t="shared" si="164"/>
        <v>0</v>
      </c>
      <c r="I431" s="17">
        <f t="shared" si="165"/>
        <v>0</v>
      </c>
      <c r="J431" s="15"/>
      <c r="K431" s="10">
        <f t="shared" si="166"/>
        <v>0</v>
      </c>
      <c r="L431" s="10"/>
      <c r="M431" s="17"/>
      <c r="N431" s="17">
        <f t="shared" si="167"/>
        <v>0</v>
      </c>
      <c r="O431" s="17">
        <f t="shared" si="168"/>
        <v>0</v>
      </c>
      <c r="P431" s="17">
        <f t="shared" si="169"/>
        <v>0</v>
      </c>
      <c r="Q431" s="17">
        <f t="shared" si="170"/>
        <v>0</v>
      </c>
      <c r="R431" s="49"/>
    </row>
    <row r="432" spans="2:36" ht="27.6" x14ac:dyDescent="0.25">
      <c r="B432" s="48">
        <f>IF(F432&lt;&gt;"",1+MAX($B$22:B431),"")</f>
        <v>218</v>
      </c>
      <c r="C432" s="52" t="s">
        <v>241</v>
      </c>
      <c r="D432" s="8" t="s">
        <v>240</v>
      </c>
      <c r="E432" s="23" t="s">
        <v>78</v>
      </c>
      <c r="F432" s="39">
        <v>419</v>
      </c>
      <c r="G432" s="17">
        <v>6.65</v>
      </c>
      <c r="H432" s="17">
        <f t="shared" si="164"/>
        <v>7.3150000000000013</v>
      </c>
      <c r="I432" s="17">
        <f t="shared" si="165"/>
        <v>3064.9850000000006</v>
      </c>
      <c r="J432" s="15">
        <v>9.5000000000000001E-2</v>
      </c>
      <c r="K432" s="10">
        <f t="shared" si="166"/>
        <v>39.805</v>
      </c>
      <c r="L432" s="88" t="s">
        <v>406</v>
      </c>
      <c r="M432" s="89">
        <v>51.64</v>
      </c>
      <c r="N432" s="17">
        <f t="shared" si="167"/>
        <v>67.235280000000003</v>
      </c>
      <c r="O432" s="17">
        <f t="shared" si="168"/>
        <v>6.3873516000000006</v>
      </c>
      <c r="P432" s="17">
        <f t="shared" si="169"/>
        <v>2676.3003204000001</v>
      </c>
      <c r="Q432" s="17">
        <f t="shared" si="170"/>
        <v>5741.2853204000003</v>
      </c>
      <c r="R432" s="49"/>
    </row>
    <row r="433" spans="2:19" x14ac:dyDescent="0.25">
      <c r="B433" s="48" t="str">
        <f>IF(F433&lt;&gt;"",1+MAX($B$22:B432),"")</f>
        <v/>
      </c>
      <c r="C433" s="52"/>
      <c r="D433" s="8"/>
      <c r="E433" s="23"/>
      <c r="F433" s="39"/>
      <c r="G433" s="17"/>
      <c r="H433" s="17">
        <f t="shared" si="164"/>
        <v>0</v>
      </c>
      <c r="I433" s="17">
        <f t="shared" si="165"/>
        <v>0</v>
      </c>
      <c r="J433" s="15"/>
      <c r="K433" s="10">
        <f t="shared" si="166"/>
        <v>0</v>
      </c>
      <c r="L433" s="10"/>
      <c r="M433" s="17"/>
      <c r="N433" s="17">
        <f t="shared" si="167"/>
        <v>0</v>
      </c>
      <c r="O433" s="17">
        <f t="shared" si="168"/>
        <v>0</v>
      </c>
      <c r="P433" s="17">
        <f t="shared" si="169"/>
        <v>0</v>
      </c>
      <c r="Q433" s="17">
        <f t="shared" si="170"/>
        <v>0</v>
      </c>
      <c r="R433" s="49"/>
    </row>
    <row r="434" spans="2:19" x14ac:dyDescent="0.25">
      <c r="B434" s="67" t="str">
        <f>IF(F434&lt;&gt;"",1+MAX($B$22:B433),"")</f>
        <v/>
      </c>
      <c r="C434" s="68"/>
      <c r="D434" s="69" t="s">
        <v>232</v>
      </c>
      <c r="E434" s="23"/>
      <c r="F434" s="39"/>
      <c r="G434" s="17"/>
      <c r="H434" s="17">
        <f t="shared" si="164"/>
        <v>0</v>
      </c>
      <c r="I434" s="17">
        <f t="shared" si="165"/>
        <v>0</v>
      </c>
      <c r="J434" s="15"/>
      <c r="K434" s="10">
        <f t="shared" si="166"/>
        <v>0</v>
      </c>
      <c r="L434" s="10"/>
      <c r="M434" s="17"/>
      <c r="N434" s="17">
        <f t="shared" si="167"/>
        <v>0</v>
      </c>
      <c r="O434" s="17">
        <f t="shared" si="168"/>
        <v>0</v>
      </c>
      <c r="P434" s="17">
        <f t="shared" si="169"/>
        <v>0</v>
      </c>
      <c r="Q434" s="17">
        <f t="shared" si="170"/>
        <v>0</v>
      </c>
      <c r="R434" s="49"/>
    </row>
    <row r="435" spans="2:19" x14ac:dyDescent="0.25">
      <c r="B435" s="48" t="str">
        <f>IF(F435&lt;&gt;"",1+MAX($B$22:B434),"")</f>
        <v/>
      </c>
      <c r="C435" s="52"/>
      <c r="D435" s="8"/>
      <c r="E435" s="23"/>
      <c r="F435" s="39"/>
      <c r="G435" s="17"/>
      <c r="H435" s="17">
        <f t="shared" si="164"/>
        <v>0</v>
      </c>
      <c r="I435" s="17">
        <f t="shared" si="165"/>
        <v>0</v>
      </c>
      <c r="J435" s="15"/>
      <c r="K435" s="10">
        <f t="shared" si="166"/>
        <v>0</v>
      </c>
      <c r="L435" s="10"/>
      <c r="M435" s="17"/>
      <c r="N435" s="17">
        <f t="shared" si="167"/>
        <v>0</v>
      </c>
      <c r="O435" s="17">
        <f t="shared" si="168"/>
        <v>0</v>
      </c>
      <c r="P435" s="17">
        <f t="shared" si="169"/>
        <v>0</v>
      </c>
      <c r="Q435" s="17">
        <f t="shared" si="170"/>
        <v>0</v>
      </c>
      <c r="R435" s="49"/>
    </row>
    <row r="436" spans="2:19" x14ac:dyDescent="0.25">
      <c r="B436" s="48" t="str">
        <f>IF(F436&lt;&gt;"",1+MAX($B$22:B435),"")</f>
        <v/>
      </c>
      <c r="C436" s="52"/>
      <c r="D436" s="51" t="s">
        <v>234</v>
      </c>
      <c r="E436" s="23"/>
      <c r="F436" s="39"/>
      <c r="G436" s="17"/>
      <c r="H436" s="17">
        <f t="shared" si="164"/>
        <v>0</v>
      </c>
      <c r="I436" s="17">
        <f t="shared" si="165"/>
        <v>0</v>
      </c>
      <c r="J436" s="15"/>
      <c r="K436" s="10">
        <f t="shared" si="166"/>
        <v>0</v>
      </c>
      <c r="L436" s="10"/>
      <c r="M436" s="17"/>
      <c r="N436" s="17">
        <f t="shared" si="167"/>
        <v>0</v>
      </c>
      <c r="O436" s="17">
        <f t="shared" si="168"/>
        <v>0</v>
      </c>
      <c r="P436" s="17">
        <f t="shared" si="169"/>
        <v>0</v>
      </c>
      <c r="Q436" s="17">
        <f t="shared" si="170"/>
        <v>0</v>
      </c>
      <c r="R436" s="49"/>
    </row>
    <row r="437" spans="2:19" x14ac:dyDescent="0.25">
      <c r="B437" s="48">
        <f>IF(F437&lt;&gt;"",1+MAX($B$22:B436),"")</f>
        <v>219</v>
      </c>
      <c r="C437" s="52"/>
      <c r="D437" s="8" t="s">
        <v>235</v>
      </c>
      <c r="E437" s="23" t="s">
        <v>96</v>
      </c>
      <c r="F437" s="39">
        <v>10</v>
      </c>
      <c r="G437" s="17">
        <v>240</v>
      </c>
      <c r="H437" s="17">
        <f t="shared" si="164"/>
        <v>264</v>
      </c>
      <c r="I437" s="17">
        <f t="shared" si="165"/>
        <v>2640</v>
      </c>
      <c r="J437" s="15">
        <v>3.65</v>
      </c>
      <c r="K437" s="10">
        <f t="shared" si="166"/>
        <v>36.5</v>
      </c>
      <c r="L437" s="88" t="s">
        <v>407</v>
      </c>
      <c r="M437" s="89">
        <v>66.59</v>
      </c>
      <c r="N437" s="17">
        <f t="shared" si="167"/>
        <v>86.700180000000003</v>
      </c>
      <c r="O437" s="17">
        <f t="shared" si="168"/>
        <v>316.45565700000003</v>
      </c>
      <c r="P437" s="17">
        <f t="shared" si="169"/>
        <v>3164.5565700000002</v>
      </c>
      <c r="Q437" s="17">
        <f t="shared" si="170"/>
        <v>5804.5565700000006</v>
      </c>
      <c r="R437" s="49"/>
    </row>
    <row r="438" spans="2:19" x14ac:dyDescent="0.25">
      <c r="B438" s="48" t="str">
        <f>IF(F438&lt;&gt;"",1+MAX($B$22:B437),"")</f>
        <v/>
      </c>
      <c r="C438" s="52"/>
      <c r="D438" s="8"/>
      <c r="E438" s="23"/>
      <c r="F438" s="39"/>
      <c r="G438" s="17"/>
      <c r="H438" s="17">
        <f t="shared" si="164"/>
        <v>0</v>
      </c>
      <c r="I438" s="17">
        <f t="shared" si="165"/>
        <v>0</v>
      </c>
      <c r="J438" s="15"/>
      <c r="K438" s="10">
        <f t="shared" si="166"/>
        <v>0</v>
      </c>
      <c r="L438" s="10"/>
      <c r="M438" s="17"/>
      <c r="N438" s="17">
        <f t="shared" si="167"/>
        <v>0</v>
      </c>
      <c r="O438" s="17">
        <f t="shared" si="168"/>
        <v>0</v>
      </c>
      <c r="P438" s="17">
        <f t="shared" si="169"/>
        <v>0</v>
      </c>
      <c r="Q438" s="17">
        <f t="shared" si="170"/>
        <v>0</v>
      </c>
      <c r="R438" s="49"/>
    </row>
    <row r="439" spans="2:19" x14ac:dyDescent="0.25">
      <c r="B439" s="48" t="str">
        <f>IF(F439&lt;&gt;"",1+MAX($B$22:B438),"")</f>
        <v/>
      </c>
      <c r="C439" s="52"/>
      <c r="D439" s="51" t="s">
        <v>259</v>
      </c>
      <c r="E439" s="23"/>
      <c r="F439" s="39"/>
      <c r="G439" s="17"/>
      <c r="H439" s="17">
        <f t="shared" si="164"/>
        <v>0</v>
      </c>
      <c r="I439" s="17">
        <f t="shared" si="165"/>
        <v>0</v>
      </c>
      <c r="J439" s="15"/>
      <c r="K439" s="10">
        <f t="shared" si="166"/>
        <v>0</v>
      </c>
      <c r="L439" s="10"/>
      <c r="M439" s="17"/>
      <c r="N439" s="17">
        <f t="shared" si="167"/>
        <v>0</v>
      </c>
      <c r="O439" s="17">
        <f t="shared" si="168"/>
        <v>0</v>
      </c>
      <c r="P439" s="17">
        <f t="shared" si="169"/>
        <v>0</v>
      </c>
      <c r="Q439" s="17">
        <f t="shared" si="170"/>
        <v>0</v>
      </c>
      <c r="R439" s="49"/>
    </row>
    <row r="440" spans="2:19" x14ac:dyDescent="0.25">
      <c r="B440" s="48">
        <f>IF(F440&lt;&gt;"",1+MAX($B$22:B439),"")</f>
        <v>220</v>
      </c>
      <c r="C440" s="119" t="s">
        <v>241</v>
      </c>
      <c r="D440" s="8" t="s">
        <v>258</v>
      </c>
      <c r="E440" s="23" t="s">
        <v>96</v>
      </c>
      <c r="F440" s="39">
        <v>8</v>
      </c>
      <c r="G440" s="17">
        <v>45</v>
      </c>
      <c r="H440" s="17">
        <f t="shared" si="164"/>
        <v>49.500000000000007</v>
      </c>
      <c r="I440" s="17">
        <f t="shared" si="165"/>
        <v>396.00000000000006</v>
      </c>
      <c r="J440" s="15">
        <v>0.5</v>
      </c>
      <c r="K440" s="10">
        <f t="shared" si="166"/>
        <v>4</v>
      </c>
      <c r="L440" s="88" t="s">
        <v>408</v>
      </c>
      <c r="M440" s="89">
        <v>42.77</v>
      </c>
      <c r="N440" s="17">
        <f t="shared" si="167"/>
        <v>55.686540000000008</v>
      </c>
      <c r="O440" s="17">
        <f t="shared" si="168"/>
        <v>27.843270000000004</v>
      </c>
      <c r="P440" s="17">
        <f t="shared" si="169"/>
        <v>222.74616000000003</v>
      </c>
      <c r="Q440" s="17">
        <f t="shared" si="170"/>
        <v>618.74616000000015</v>
      </c>
      <c r="R440" s="49"/>
    </row>
    <row r="441" spans="2:19" x14ac:dyDescent="0.25">
      <c r="B441" s="48" t="str">
        <f>IF(F441&lt;&gt;"",1+MAX($B$22:B440),"")</f>
        <v/>
      </c>
      <c r="C441" s="119"/>
      <c r="D441" s="8"/>
      <c r="E441" s="23"/>
      <c r="F441" s="39"/>
      <c r="G441" s="17"/>
      <c r="H441" s="17">
        <f t="shared" si="164"/>
        <v>0</v>
      </c>
      <c r="I441" s="17">
        <f t="shared" si="165"/>
        <v>0</v>
      </c>
      <c r="J441" s="15"/>
      <c r="K441" s="10">
        <f t="shared" si="166"/>
        <v>0</v>
      </c>
      <c r="L441" s="10"/>
      <c r="M441" s="17"/>
      <c r="N441" s="17">
        <f t="shared" si="167"/>
        <v>0</v>
      </c>
      <c r="O441" s="17">
        <f t="shared" si="168"/>
        <v>0</v>
      </c>
      <c r="P441" s="17">
        <f t="shared" si="169"/>
        <v>0</v>
      </c>
      <c r="Q441" s="17">
        <f t="shared" si="170"/>
        <v>0</v>
      </c>
      <c r="R441" s="49"/>
    </row>
    <row r="442" spans="2:19" x14ac:dyDescent="0.25">
      <c r="B442" s="48" t="str">
        <f>IF(F442&lt;&gt;"",1+MAX($B$22:B441),"")</f>
        <v/>
      </c>
      <c r="C442" s="119"/>
      <c r="D442" s="51" t="s">
        <v>233</v>
      </c>
      <c r="E442" s="23"/>
      <c r="F442" s="39"/>
      <c r="G442" s="17"/>
      <c r="H442" s="17">
        <f t="shared" si="164"/>
        <v>0</v>
      </c>
      <c r="I442" s="17">
        <f t="shared" si="165"/>
        <v>0</v>
      </c>
      <c r="J442" s="15"/>
      <c r="K442" s="10">
        <f t="shared" si="166"/>
        <v>0</v>
      </c>
      <c r="L442" s="10"/>
      <c r="M442" s="17"/>
      <c r="N442" s="17">
        <f t="shared" si="167"/>
        <v>0</v>
      </c>
      <c r="O442" s="17">
        <f t="shared" si="168"/>
        <v>0</v>
      </c>
      <c r="P442" s="17">
        <f t="shared" si="169"/>
        <v>0</v>
      </c>
      <c r="Q442" s="17">
        <f t="shared" si="170"/>
        <v>0</v>
      </c>
      <c r="R442" s="49"/>
    </row>
    <row r="443" spans="2:19" x14ac:dyDescent="0.25">
      <c r="B443" s="48">
        <f>IF(F443&lt;&gt;"",1+MAX($B$22:B442),"")</f>
        <v>221</v>
      </c>
      <c r="C443" s="119"/>
      <c r="D443" s="8" t="s">
        <v>236</v>
      </c>
      <c r="E443" s="23" t="s">
        <v>73</v>
      </c>
      <c r="F443" s="39">
        <v>1421</v>
      </c>
      <c r="G443" s="17">
        <v>1.25</v>
      </c>
      <c r="H443" s="17">
        <f t="shared" si="164"/>
        <v>1.375</v>
      </c>
      <c r="I443" s="17">
        <f t="shared" si="165"/>
        <v>1953.875</v>
      </c>
      <c r="J443" s="15">
        <v>1.4999999999999999E-2</v>
      </c>
      <c r="K443" s="10">
        <f t="shared" si="166"/>
        <v>21.314999999999998</v>
      </c>
      <c r="L443" s="88" t="s">
        <v>378</v>
      </c>
      <c r="M443" s="89">
        <v>42.1</v>
      </c>
      <c r="N443" s="17">
        <f t="shared" si="167"/>
        <v>54.814200000000007</v>
      </c>
      <c r="O443" s="17">
        <f t="shared" si="168"/>
        <v>0.82221300000000008</v>
      </c>
      <c r="P443" s="17">
        <f t="shared" si="169"/>
        <v>1168.364673</v>
      </c>
      <c r="Q443" s="17">
        <f t="shared" si="170"/>
        <v>3122.239673</v>
      </c>
      <c r="R443" s="49"/>
    </row>
    <row r="444" spans="2:19" x14ac:dyDescent="0.25">
      <c r="B444" s="48" t="str">
        <f>IF(F444&lt;&gt;"",1+MAX($B$22:B443),"")</f>
        <v/>
      </c>
      <c r="C444" s="52"/>
      <c r="D444" s="48"/>
      <c r="E444" s="52"/>
      <c r="F444" s="51"/>
      <c r="G444" s="17"/>
      <c r="H444" s="17">
        <f t="shared" si="164"/>
        <v>0</v>
      </c>
      <c r="I444" s="17">
        <f t="shared" si="165"/>
        <v>0</v>
      </c>
      <c r="J444" s="15"/>
      <c r="K444" s="10">
        <f t="shared" si="166"/>
        <v>0</v>
      </c>
      <c r="L444" s="10"/>
      <c r="M444" s="17"/>
      <c r="N444" s="17">
        <f t="shared" si="167"/>
        <v>0</v>
      </c>
      <c r="O444" s="17">
        <f t="shared" si="168"/>
        <v>0</v>
      </c>
      <c r="P444" s="17">
        <f t="shared" si="169"/>
        <v>0</v>
      </c>
      <c r="Q444" s="17">
        <f t="shared" si="170"/>
        <v>0</v>
      </c>
      <c r="R444" s="49"/>
    </row>
    <row r="445" spans="2:19" x14ac:dyDescent="0.25">
      <c r="B445" s="67" t="str">
        <f>IF(F445&lt;&gt;"",1+MAX($B$22:B444),"")</f>
        <v/>
      </c>
      <c r="C445" s="68"/>
      <c r="D445" s="69" t="s">
        <v>237</v>
      </c>
      <c r="E445" s="23"/>
      <c r="F445" s="39"/>
      <c r="G445" s="17"/>
      <c r="H445" s="17">
        <f t="shared" si="164"/>
        <v>0</v>
      </c>
      <c r="I445" s="17">
        <f t="shared" si="165"/>
        <v>0</v>
      </c>
      <c r="J445" s="15"/>
      <c r="K445" s="10">
        <f t="shared" si="166"/>
        <v>0</v>
      </c>
      <c r="L445" s="10"/>
      <c r="M445" s="17"/>
      <c r="N445" s="17">
        <f t="shared" si="167"/>
        <v>0</v>
      </c>
      <c r="O445" s="17">
        <f t="shared" si="168"/>
        <v>0</v>
      </c>
      <c r="P445" s="17">
        <f t="shared" si="169"/>
        <v>0</v>
      </c>
      <c r="Q445" s="17">
        <f t="shared" si="170"/>
        <v>0</v>
      </c>
      <c r="R445" s="49"/>
    </row>
    <row r="446" spans="2:19" x14ac:dyDescent="0.25">
      <c r="B446" s="48">
        <f>IF(F446&lt;&gt;"",1+MAX($B$22:B445),"")</f>
        <v>222</v>
      </c>
      <c r="C446" s="52" t="s">
        <v>241</v>
      </c>
      <c r="D446" s="8" t="s">
        <v>409</v>
      </c>
      <c r="E446" s="23" t="s">
        <v>73</v>
      </c>
      <c r="F446" s="39">
        <f>109*6</f>
        <v>654</v>
      </c>
      <c r="G446" s="17">
        <v>8.25</v>
      </c>
      <c r="H446" s="17">
        <f t="shared" si="164"/>
        <v>9.0750000000000011</v>
      </c>
      <c r="I446" s="17">
        <f t="shared" si="165"/>
        <v>5935.0500000000011</v>
      </c>
      <c r="J446" s="15">
        <v>0.112</v>
      </c>
      <c r="K446" s="10">
        <f t="shared" si="166"/>
        <v>73.248000000000005</v>
      </c>
      <c r="L446" s="88" t="s">
        <v>397</v>
      </c>
      <c r="M446" s="89">
        <v>52.2</v>
      </c>
      <c r="N446" s="17">
        <f t="shared" si="167"/>
        <v>67.964400000000012</v>
      </c>
      <c r="O446" s="17">
        <f t="shared" si="168"/>
        <v>7.6120128000000014</v>
      </c>
      <c r="P446" s="17">
        <f t="shared" si="169"/>
        <v>4978.256371200001</v>
      </c>
      <c r="Q446" s="17">
        <f t="shared" si="170"/>
        <v>10913.306371200002</v>
      </c>
      <c r="R446" s="49"/>
    </row>
    <row r="447" spans="2:19" x14ac:dyDescent="0.25">
      <c r="B447" s="48" t="str">
        <f>IF(F447&lt;&gt;"",1+MAX($B$22:B446),"")</f>
        <v/>
      </c>
      <c r="C447" s="52"/>
      <c r="D447" s="8"/>
      <c r="E447" s="23"/>
      <c r="F447" s="39"/>
      <c r="G447" s="17"/>
      <c r="H447" s="17">
        <f t="shared" si="164"/>
        <v>0</v>
      </c>
      <c r="I447" s="17">
        <f t="shared" si="165"/>
        <v>0</v>
      </c>
      <c r="J447" s="15"/>
      <c r="K447" s="10">
        <f t="shared" si="166"/>
        <v>0</v>
      </c>
      <c r="L447" s="10"/>
      <c r="M447" s="17"/>
      <c r="N447" s="17">
        <f t="shared" si="167"/>
        <v>0</v>
      </c>
      <c r="O447" s="17">
        <f t="shared" si="168"/>
        <v>0</v>
      </c>
      <c r="P447" s="17">
        <f t="shared" si="169"/>
        <v>0</v>
      </c>
      <c r="Q447" s="17">
        <f t="shared" si="170"/>
        <v>0</v>
      </c>
      <c r="R447" s="49"/>
      <c r="S447" s="12"/>
    </row>
    <row r="448" spans="2:19" x14ac:dyDescent="0.25">
      <c r="S448" s="12"/>
    </row>
    <row r="449" spans="19:19" x14ac:dyDescent="0.25">
      <c r="S449" s="12"/>
    </row>
    <row r="450" spans="19:19" x14ac:dyDescent="0.25">
      <c r="S450" s="12"/>
    </row>
    <row r="451" spans="19:19" x14ac:dyDescent="0.25">
      <c r="S451" s="12"/>
    </row>
    <row r="452" spans="19:19" x14ac:dyDescent="0.25">
      <c r="S452" s="12"/>
    </row>
  </sheetData>
  <mergeCells count="90">
    <mergeCell ref="B3:H3"/>
    <mergeCell ref="B4:H4"/>
    <mergeCell ref="B2:R2"/>
    <mergeCell ref="B18:B19"/>
    <mergeCell ref="E18:E19"/>
    <mergeCell ref="D18:D19"/>
    <mergeCell ref="G18:I18"/>
    <mergeCell ref="I3:R3"/>
    <mergeCell ref="R18:R19"/>
    <mergeCell ref="J18:P18"/>
    <mergeCell ref="Q18:Q19"/>
    <mergeCell ref="C18:C19"/>
    <mergeCell ref="I5:P5"/>
    <mergeCell ref="I6:P6"/>
    <mergeCell ref="I4:R4"/>
    <mergeCell ref="I7:P7"/>
    <mergeCell ref="I8:P8"/>
    <mergeCell ref="I11:P11"/>
    <mergeCell ref="I12:P12"/>
    <mergeCell ref="I9:P9"/>
    <mergeCell ref="I13:P13"/>
    <mergeCell ref="I14:P14"/>
    <mergeCell ref="E16:I17"/>
    <mergeCell ref="J16:R17"/>
    <mergeCell ref="I10:P10"/>
    <mergeCell ref="B16:C17"/>
    <mergeCell ref="B15:C15"/>
    <mergeCell ref="J15:R15"/>
    <mergeCell ref="E15:I15"/>
    <mergeCell ref="K28:N28"/>
    <mergeCell ref="E28:G28"/>
    <mergeCell ref="E21:G21"/>
    <mergeCell ref="K21:N21"/>
    <mergeCell ref="F18:F19"/>
    <mergeCell ref="E415:G415"/>
    <mergeCell ref="K415:N415"/>
    <mergeCell ref="E426:G426"/>
    <mergeCell ref="K426:N426"/>
    <mergeCell ref="K295:N295"/>
    <mergeCell ref="K382:N382"/>
    <mergeCell ref="E377:G377"/>
    <mergeCell ref="K377:N377"/>
    <mergeCell ref="E356:G356"/>
    <mergeCell ref="K356:N356"/>
    <mergeCell ref="E382:G382"/>
    <mergeCell ref="E65:G65"/>
    <mergeCell ref="E367:G367"/>
    <mergeCell ref="K367:N367"/>
    <mergeCell ref="E201:G201"/>
    <mergeCell ref="K201:N201"/>
    <mergeCell ref="E257:G257"/>
    <mergeCell ref="K257:N257"/>
    <mergeCell ref="E295:G295"/>
    <mergeCell ref="E90:G90"/>
    <mergeCell ref="K90:N90"/>
    <mergeCell ref="K65:N65"/>
    <mergeCell ref="E85:G85"/>
    <mergeCell ref="K85:N85"/>
    <mergeCell ref="C249:C255"/>
    <mergeCell ref="C440:C443"/>
    <mergeCell ref="C245:C246"/>
    <mergeCell ref="C261:C273"/>
    <mergeCell ref="C276:C278"/>
    <mergeCell ref="C284:C292"/>
    <mergeCell ref="C298:C303"/>
    <mergeCell ref="C308:C349"/>
    <mergeCell ref="C352:C354"/>
    <mergeCell ref="C370:C374"/>
    <mergeCell ref="C385:C389"/>
    <mergeCell ref="C393:C396"/>
    <mergeCell ref="C399:C403"/>
    <mergeCell ref="C409:C410"/>
    <mergeCell ref="C58:C60"/>
    <mergeCell ref="C172:C178"/>
    <mergeCell ref="C127:C128"/>
    <mergeCell ref="C181:C182"/>
    <mergeCell ref="C31:C41"/>
    <mergeCell ref="C73:C77"/>
    <mergeCell ref="C111:C124"/>
    <mergeCell ref="C134:C141"/>
    <mergeCell ref="C161:C162"/>
    <mergeCell ref="C144:C155"/>
    <mergeCell ref="C42:C45"/>
    <mergeCell ref="C48:C55"/>
    <mergeCell ref="C95:C106"/>
    <mergeCell ref="C242:C244"/>
    <mergeCell ref="C232:C233"/>
    <mergeCell ref="C189:C199"/>
    <mergeCell ref="C227:C229"/>
    <mergeCell ref="C204:C224"/>
  </mergeCells>
  <phoneticPr fontId="0" type="noConversion"/>
  <printOptions horizontalCentered="1"/>
  <pageMargins left="0.25" right="0.25" top="0.375" bottom="0.375" header="0.25" footer="0.25"/>
  <pageSetup paperSize="9" scale="66" fitToHeight="0" orientation="landscape" horizontalDpi="300" verticalDpi="300" r:id="rId1"/>
  <headerFooter alignWithMargins="0">
    <oddFooter>&amp;R&amp;"Arial,Bold"&amp;P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3BA72DA6-DEF9-45FF-AA7D-F06161522F2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Detailed Estimate Sheet</vt:lpstr>
      <vt:lpstr>'Detailed Estimate Sheet'!Print_Area</vt:lpstr>
      <vt:lpstr>Summary!Print_Area</vt:lpstr>
      <vt:lpstr>'Detailed Estimate Sheet'!Print_Titles</vt:lpstr>
      <vt:lpstr>Summary!Print_Titles</vt:lpstr>
    </vt:vector>
  </TitlesOfParts>
  <LinksUpToDate>false</LinksUpToDate>
  <SharedDoc>false</SharedDoc>
  <HyperlinkBase>www.4Clicks.com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ENGINEERZ</dc:creator>
  <cp:lastModifiedBy>Uswa Fatima</cp:lastModifiedBy>
  <cp:lastPrinted>2024-02-28T18:32:19Z</cp:lastPrinted>
  <dcterms:created xsi:type="dcterms:W3CDTF">1998-02-12T14:30:11Z</dcterms:created>
  <dcterms:modified xsi:type="dcterms:W3CDTF">2026-02-04T16:24:34Z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{3BA72DA6-DEF9-45FF-AA7D-F06161522F28}</vt:lpwstr>
  </property>
</Properties>
</file>